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G:\SEMINARIOS\manual seminario\"/>
    </mc:Choice>
  </mc:AlternateContent>
  <xr:revisionPtr revIDLastSave="0" documentId="8_{7343A5F0-8ED9-4EA0-AA10-EBCEF3564E04}" xr6:coauthVersionLast="36" xr6:coauthVersionMax="36" xr10:uidLastSave="{00000000-0000-0000-0000-000000000000}"/>
  <bookViews>
    <workbookView xWindow="0" yWindow="0" windowWidth="28800" windowHeight="12105" xr2:uid="{00000000-000D-0000-FFFF-FFFF00000000}"/>
  </bookViews>
  <sheets>
    <sheet name="Terminología" sheetId="1" r:id="rId1"/>
    <sheet name="Tipos de bolsos" sheetId="2" r:id="rId2"/>
    <sheet name="bibliografía" sheetId="3" r:id="rId3"/>
  </sheets>
  <calcPr calcId="191029"/>
</workbook>
</file>

<file path=xl/calcChain.xml><?xml version="1.0" encoding="utf-8"?>
<calcChain xmlns="http://schemas.openxmlformats.org/spreadsheetml/2006/main">
  <c r="F415" i="1" l="1"/>
  <c r="E415" i="1"/>
  <c r="D415" i="1"/>
  <c r="F414" i="1"/>
  <c r="E414" i="1"/>
  <c r="D414" i="1"/>
  <c r="F413" i="1"/>
  <c r="E413" i="1"/>
  <c r="D413" i="1"/>
  <c r="F412" i="1"/>
  <c r="E412" i="1"/>
  <c r="D412" i="1"/>
  <c r="F411" i="1"/>
  <c r="E411" i="1"/>
  <c r="D411" i="1"/>
  <c r="F410" i="1"/>
  <c r="E410" i="1"/>
  <c r="D410" i="1"/>
  <c r="F409" i="1"/>
  <c r="E409" i="1"/>
  <c r="D409" i="1"/>
  <c r="F408" i="1"/>
  <c r="E408" i="1"/>
  <c r="D408" i="1"/>
  <c r="F407" i="1"/>
  <c r="E407" i="1"/>
  <c r="D407" i="1"/>
  <c r="F406" i="1"/>
  <c r="E406" i="1"/>
  <c r="D406" i="1"/>
  <c r="F405" i="1"/>
  <c r="E405" i="1"/>
  <c r="D405" i="1"/>
  <c r="F404" i="1"/>
  <c r="E404" i="1"/>
  <c r="D404" i="1"/>
  <c r="F403" i="1"/>
  <c r="E403" i="1"/>
  <c r="D403" i="1"/>
  <c r="F402" i="1"/>
  <c r="E402" i="1"/>
  <c r="D402" i="1"/>
  <c r="F401" i="1"/>
  <c r="E401" i="1"/>
  <c r="D401" i="1"/>
  <c r="F400" i="1"/>
  <c r="E400" i="1"/>
  <c r="D400" i="1"/>
  <c r="F399" i="1"/>
  <c r="E399" i="1"/>
  <c r="D399" i="1"/>
  <c r="F398" i="1"/>
  <c r="E398" i="1"/>
  <c r="D398" i="1"/>
  <c r="F397" i="1"/>
  <c r="E397" i="1"/>
  <c r="D397" i="1"/>
  <c r="F396" i="1"/>
  <c r="E396" i="1"/>
  <c r="D396" i="1"/>
  <c r="F395" i="1"/>
  <c r="E395" i="1"/>
  <c r="D395" i="1"/>
  <c r="F394" i="1"/>
  <c r="E394" i="1"/>
  <c r="D394" i="1"/>
  <c r="F393" i="1"/>
  <c r="E393" i="1"/>
  <c r="D393" i="1"/>
  <c r="F392" i="1"/>
  <c r="E392" i="1"/>
  <c r="D392" i="1"/>
  <c r="F391" i="1"/>
  <c r="E391" i="1"/>
  <c r="D391" i="1"/>
  <c r="F390" i="1"/>
  <c r="E390" i="1"/>
  <c r="D390" i="1"/>
  <c r="F389" i="1"/>
  <c r="E389" i="1"/>
  <c r="D389" i="1"/>
  <c r="F388" i="1"/>
  <c r="E388" i="1"/>
  <c r="D388" i="1"/>
  <c r="F387" i="1"/>
  <c r="E387" i="1"/>
  <c r="D387" i="1"/>
  <c r="F386" i="1"/>
  <c r="E386" i="1"/>
  <c r="D386" i="1"/>
  <c r="F385" i="1"/>
  <c r="E385" i="1"/>
  <c r="D385" i="1"/>
  <c r="F384" i="1"/>
  <c r="E384" i="1"/>
  <c r="D384" i="1"/>
  <c r="F383" i="1"/>
  <c r="E383" i="1"/>
  <c r="D383" i="1"/>
  <c r="F382" i="1"/>
  <c r="E382" i="1"/>
  <c r="D382" i="1"/>
  <c r="F381" i="1"/>
  <c r="E381" i="1"/>
  <c r="D381" i="1"/>
  <c r="F380" i="1"/>
  <c r="E380" i="1"/>
  <c r="D380" i="1"/>
  <c r="F379" i="1"/>
  <c r="E379" i="1"/>
  <c r="D379" i="1"/>
  <c r="F378" i="1"/>
  <c r="E378" i="1"/>
  <c r="D378" i="1"/>
  <c r="F377" i="1"/>
  <c r="E377" i="1"/>
  <c r="D377" i="1"/>
  <c r="F376" i="1"/>
  <c r="E376" i="1"/>
  <c r="D376" i="1"/>
  <c r="F375" i="1"/>
  <c r="E375" i="1"/>
  <c r="D375" i="1"/>
  <c r="F374" i="1"/>
  <c r="E374" i="1"/>
  <c r="D374" i="1"/>
  <c r="F373" i="1"/>
  <c r="E373" i="1"/>
  <c r="D373" i="1"/>
  <c r="F372" i="1"/>
  <c r="E372" i="1"/>
  <c r="D372" i="1"/>
  <c r="F371" i="1"/>
  <c r="E371" i="1"/>
  <c r="D371" i="1"/>
  <c r="F370" i="1"/>
  <c r="E370" i="1"/>
  <c r="D370" i="1"/>
  <c r="F369" i="1"/>
  <c r="E369" i="1"/>
  <c r="D369" i="1"/>
  <c r="F368" i="1"/>
  <c r="E368" i="1"/>
  <c r="D368" i="1"/>
  <c r="F367" i="1"/>
  <c r="E367" i="1"/>
  <c r="D367" i="1"/>
  <c r="F366" i="1"/>
  <c r="E366" i="1"/>
  <c r="D366" i="1"/>
  <c r="F365" i="1"/>
  <c r="E365" i="1"/>
  <c r="D365" i="1"/>
  <c r="F364" i="1"/>
  <c r="E364" i="1"/>
  <c r="D364" i="1"/>
  <c r="F363" i="1"/>
  <c r="E363" i="1"/>
  <c r="D363" i="1"/>
  <c r="F362" i="1"/>
  <c r="E362" i="1"/>
  <c r="D362" i="1"/>
  <c r="F361" i="1"/>
  <c r="E361" i="1"/>
  <c r="D361" i="1"/>
  <c r="F360" i="1"/>
  <c r="E360" i="1"/>
  <c r="D360" i="1"/>
  <c r="F359" i="1"/>
  <c r="E359" i="1"/>
  <c r="D359" i="1"/>
  <c r="F358" i="1"/>
  <c r="E358" i="1"/>
  <c r="D358" i="1"/>
  <c r="F357" i="1"/>
  <c r="E357" i="1"/>
  <c r="D357" i="1"/>
  <c r="F356" i="1"/>
  <c r="E356" i="1"/>
  <c r="D356" i="1"/>
  <c r="F355" i="1"/>
  <c r="E355" i="1"/>
  <c r="D355" i="1"/>
  <c r="F354" i="1"/>
  <c r="E354" i="1"/>
  <c r="D354" i="1"/>
  <c r="F353" i="1"/>
  <c r="E353" i="1"/>
  <c r="D353" i="1"/>
  <c r="F352" i="1"/>
  <c r="E352" i="1"/>
  <c r="D352" i="1"/>
  <c r="F351" i="1"/>
  <c r="E351" i="1"/>
  <c r="D351" i="1"/>
  <c r="F350" i="1"/>
  <c r="E350" i="1"/>
  <c r="D350" i="1"/>
  <c r="F349" i="1"/>
  <c r="E349" i="1"/>
  <c r="D349" i="1"/>
  <c r="F348" i="1"/>
  <c r="E348" i="1"/>
  <c r="D348" i="1"/>
  <c r="F347" i="1"/>
  <c r="E347" i="1"/>
  <c r="D347" i="1"/>
  <c r="F346" i="1"/>
  <c r="E346" i="1"/>
  <c r="D346" i="1"/>
  <c r="F345" i="1"/>
  <c r="E345" i="1"/>
  <c r="D345" i="1"/>
  <c r="F344" i="1"/>
  <c r="E344" i="1"/>
  <c r="D344" i="1"/>
  <c r="F343" i="1"/>
  <c r="E343" i="1"/>
  <c r="D343" i="1"/>
  <c r="F342" i="1"/>
  <c r="E342" i="1"/>
  <c r="D342" i="1"/>
  <c r="F341" i="1"/>
  <c r="E341" i="1"/>
  <c r="D341" i="1"/>
  <c r="F340" i="1"/>
  <c r="E340" i="1"/>
  <c r="D340" i="1"/>
  <c r="F339" i="1"/>
  <c r="E339" i="1"/>
  <c r="D339" i="1"/>
  <c r="F338" i="1"/>
  <c r="E338" i="1"/>
  <c r="D338" i="1"/>
  <c r="F337" i="1"/>
  <c r="E337" i="1"/>
  <c r="D337" i="1"/>
  <c r="F336" i="1"/>
  <c r="E336" i="1"/>
  <c r="D336" i="1"/>
  <c r="F335" i="1"/>
  <c r="E335" i="1"/>
  <c r="D335" i="1"/>
  <c r="F334" i="1"/>
  <c r="E334" i="1"/>
  <c r="D334" i="1"/>
  <c r="F333" i="1"/>
  <c r="E333" i="1"/>
  <c r="D333" i="1"/>
  <c r="F332" i="1"/>
  <c r="E332" i="1"/>
  <c r="D332" i="1"/>
  <c r="F331" i="1"/>
  <c r="E331" i="1"/>
  <c r="D331" i="1"/>
  <c r="F330" i="1"/>
  <c r="E330" i="1"/>
  <c r="D330" i="1"/>
  <c r="F329" i="1"/>
  <c r="E329" i="1"/>
  <c r="D329" i="1"/>
  <c r="F328" i="1"/>
  <c r="E328" i="1"/>
  <c r="D328" i="1"/>
  <c r="F327" i="1"/>
  <c r="E327" i="1"/>
  <c r="D327" i="1"/>
  <c r="F326" i="1"/>
  <c r="E326" i="1"/>
  <c r="D326" i="1"/>
  <c r="F325" i="1"/>
  <c r="E325" i="1"/>
  <c r="D325" i="1"/>
  <c r="F324" i="1"/>
  <c r="E324" i="1"/>
  <c r="D324" i="1"/>
  <c r="F323" i="1"/>
  <c r="E323" i="1"/>
  <c r="D323" i="1"/>
  <c r="F322" i="1"/>
  <c r="E322" i="1"/>
  <c r="D322" i="1"/>
  <c r="F321" i="1"/>
  <c r="E321" i="1"/>
  <c r="D321" i="1"/>
  <c r="F320" i="1"/>
  <c r="E320" i="1"/>
  <c r="D320" i="1"/>
  <c r="F319" i="1"/>
  <c r="E319" i="1"/>
  <c r="D319" i="1"/>
  <c r="F318" i="1"/>
  <c r="E318" i="1"/>
  <c r="D318" i="1"/>
  <c r="F317" i="1"/>
  <c r="E317" i="1"/>
  <c r="D317" i="1"/>
  <c r="F316" i="1"/>
  <c r="E316" i="1"/>
  <c r="D316" i="1"/>
  <c r="F315" i="1"/>
  <c r="E315" i="1"/>
  <c r="D315" i="1"/>
  <c r="F314" i="1"/>
  <c r="E314" i="1"/>
  <c r="D314" i="1"/>
  <c r="F313" i="1"/>
  <c r="E313" i="1"/>
  <c r="D313" i="1"/>
  <c r="F312" i="1"/>
  <c r="E312" i="1"/>
  <c r="D312" i="1"/>
  <c r="F311" i="1"/>
  <c r="E311" i="1"/>
  <c r="D311" i="1"/>
  <c r="F310" i="1"/>
  <c r="E310" i="1"/>
  <c r="D310" i="1"/>
  <c r="F309" i="1"/>
  <c r="E309" i="1"/>
  <c r="D309" i="1"/>
  <c r="F308" i="1"/>
  <c r="E308" i="1"/>
  <c r="D308" i="1"/>
  <c r="F307" i="1"/>
  <c r="E307" i="1"/>
  <c r="D307" i="1"/>
  <c r="F306" i="1"/>
  <c r="E306" i="1"/>
  <c r="D306" i="1"/>
  <c r="F305" i="1"/>
  <c r="E305" i="1"/>
  <c r="D305" i="1"/>
  <c r="F304" i="1"/>
  <c r="E304" i="1"/>
  <c r="D304" i="1"/>
  <c r="F303" i="1"/>
  <c r="E303" i="1"/>
  <c r="D303" i="1"/>
  <c r="F302" i="1"/>
  <c r="E302" i="1"/>
  <c r="D302" i="1"/>
  <c r="F301" i="1"/>
  <c r="E301" i="1"/>
  <c r="D301" i="1"/>
  <c r="F300" i="1"/>
  <c r="E300" i="1"/>
  <c r="D300" i="1"/>
  <c r="F299" i="1"/>
  <c r="E299" i="1"/>
  <c r="D299" i="1"/>
  <c r="F298" i="1"/>
  <c r="E298" i="1"/>
  <c r="D298" i="1"/>
  <c r="F297" i="1"/>
  <c r="E297" i="1"/>
  <c r="D297" i="1"/>
  <c r="F296" i="1"/>
  <c r="E296" i="1"/>
  <c r="D296" i="1"/>
  <c r="F295" i="1"/>
  <c r="E295" i="1"/>
  <c r="D295" i="1"/>
  <c r="F294" i="1"/>
  <c r="E294" i="1"/>
  <c r="D294" i="1"/>
  <c r="F293" i="1"/>
  <c r="E293" i="1"/>
  <c r="D293" i="1"/>
  <c r="F292" i="1"/>
  <c r="E292" i="1"/>
  <c r="D292" i="1"/>
  <c r="F291" i="1"/>
  <c r="E291" i="1"/>
  <c r="D291" i="1"/>
  <c r="F290" i="1"/>
  <c r="E290" i="1"/>
  <c r="D290" i="1"/>
  <c r="F289" i="1"/>
  <c r="E289" i="1"/>
  <c r="D289" i="1"/>
  <c r="F288" i="1"/>
  <c r="E288" i="1"/>
  <c r="D288" i="1"/>
  <c r="F287" i="1"/>
  <c r="E287" i="1"/>
  <c r="D287" i="1"/>
  <c r="F286" i="1"/>
  <c r="E286" i="1"/>
  <c r="D286" i="1"/>
  <c r="F285" i="1"/>
  <c r="E285" i="1"/>
  <c r="D285" i="1"/>
  <c r="F284" i="1"/>
  <c r="E284" i="1"/>
  <c r="D284" i="1"/>
  <c r="F283" i="1"/>
  <c r="E283" i="1"/>
  <c r="D283" i="1"/>
  <c r="F282" i="1"/>
  <c r="E282" i="1"/>
  <c r="D282" i="1"/>
  <c r="F281" i="1"/>
  <c r="E281" i="1"/>
  <c r="D281" i="1"/>
  <c r="F280" i="1"/>
  <c r="E280" i="1"/>
  <c r="D280" i="1"/>
  <c r="F279" i="1"/>
  <c r="E279" i="1"/>
  <c r="D279" i="1"/>
  <c r="F278" i="1"/>
  <c r="E278" i="1"/>
  <c r="D278" i="1"/>
  <c r="F277" i="1"/>
  <c r="E277" i="1"/>
  <c r="D277" i="1"/>
  <c r="F276" i="1"/>
  <c r="E276" i="1"/>
  <c r="D276" i="1"/>
  <c r="F275" i="1"/>
  <c r="E275" i="1"/>
  <c r="D275" i="1"/>
  <c r="F274" i="1"/>
  <c r="E274" i="1"/>
  <c r="D274" i="1"/>
  <c r="F273" i="1"/>
  <c r="E273" i="1"/>
  <c r="D273" i="1"/>
  <c r="F272" i="1"/>
  <c r="E272" i="1"/>
  <c r="D272" i="1"/>
  <c r="F271" i="1"/>
  <c r="E271" i="1"/>
  <c r="D271" i="1"/>
  <c r="F270" i="1"/>
  <c r="E270" i="1"/>
  <c r="D270" i="1"/>
  <c r="F269" i="1"/>
  <c r="E269" i="1"/>
  <c r="D269" i="1"/>
  <c r="F268" i="1"/>
  <c r="E268" i="1"/>
  <c r="D268" i="1"/>
  <c r="F267" i="1"/>
  <c r="E267" i="1"/>
  <c r="D267" i="1"/>
  <c r="F266" i="1"/>
  <c r="E266" i="1"/>
  <c r="D266" i="1"/>
  <c r="F265" i="1"/>
  <c r="E265" i="1"/>
  <c r="D265" i="1"/>
  <c r="F264" i="1"/>
  <c r="E264" i="1"/>
  <c r="D264" i="1"/>
  <c r="F263" i="1"/>
  <c r="E263" i="1"/>
  <c r="D263" i="1"/>
  <c r="F262" i="1"/>
  <c r="E262" i="1"/>
  <c r="D262" i="1"/>
  <c r="F261" i="1"/>
  <c r="E261" i="1"/>
  <c r="D261" i="1"/>
  <c r="F260" i="1"/>
  <c r="E260" i="1"/>
  <c r="D260" i="1"/>
  <c r="F259" i="1"/>
  <c r="E259" i="1"/>
  <c r="D259" i="1"/>
  <c r="F258" i="1"/>
  <c r="E258" i="1"/>
  <c r="D258" i="1"/>
  <c r="F257" i="1"/>
  <c r="E257" i="1"/>
  <c r="D257" i="1"/>
  <c r="F256" i="1"/>
  <c r="E256" i="1"/>
  <c r="D256" i="1"/>
  <c r="F255" i="1"/>
  <c r="E255" i="1"/>
  <c r="D255" i="1"/>
  <c r="F254" i="1"/>
  <c r="E254" i="1"/>
  <c r="D254" i="1"/>
  <c r="F253" i="1"/>
  <c r="E253" i="1"/>
  <c r="D253" i="1"/>
  <c r="F252" i="1"/>
  <c r="E252" i="1"/>
  <c r="D252" i="1"/>
  <c r="F251" i="1"/>
  <c r="E251" i="1"/>
  <c r="D251" i="1"/>
  <c r="F250" i="1"/>
  <c r="E250" i="1"/>
  <c r="D250" i="1"/>
  <c r="F249" i="1"/>
  <c r="E249" i="1"/>
  <c r="D249" i="1"/>
  <c r="F248" i="1"/>
  <c r="E248" i="1"/>
  <c r="D248" i="1"/>
  <c r="F247" i="1"/>
  <c r="E247" i="1"/>
  <c r="D247" i="1"/>
  <c r="F246" i="1"/>
  <c r="E246" i="1"/>
  <c r="D246" i="1"/>
  <c r="F245" i="1"/>
  <c r="E245" i="1"/>
  <c r="D245" i="1"/>
  <c r="F244" i="1"/>
  <c r="E244" i="1"/>
  <c r="D244" i="1"/>
  <c r="F243" i="1"/>
  <c r="E243" i="1"/>
  <c r="D243" i="1"/>
  <c r="F242" i="1"/>
  <c r="E242" i="1"/>
  <c r="D242" i="1"/>
  <c r="F241" i="1"/>
  <c r="E241" i="1"/>
  <c r="D241" i="1"/>
  <c r="F240" i="1"/>
  <c r="E240" i="1"/>
  <c r="D240" i="1"/>
  <c r="F239" i="1"/>
  <c r="E239" i="1"/>
  <c r="D239" i="1"/>
  <c r="F238" i="1"/>
  <c r="E238" i="1"/>
  <c r="D238" i="1"/>
  <c r="F237" i="1"/>
  <c r="E237" i="1"/>
  <c r="D237" i="1"/>
  <c r="F236" i="1"/>
  <c r="E236" i="1"/>
  <c r="D236" i="1"/>
  <c r="F235" i="1"/>
  <c r="E235" i="1"/>
  <c r="D235" i="1"/>
  <c r="F234" i="1"/>
  <c r="E234" i="1"/>
  <c r="D234" i="1"/>
  <c r="F233" i="1"/>
  <c r="E233" i="1"/>
  <c r="D233" i="1"/>
  <c r="F232" i="1"/>
  <c r="E232" i="1"/>
  <c r="D232" i="1"/>
  <c r="F231" i="1"/>
  <c r="E231" i="1"/>
  <c r="D231" i="1"/>
  <c r="F230" i="1"/>
  <c r="E230" i="1"/>
  <c r="D230" i="1"/>
  <c r="F229" i="1"/>
  <c r="E229" i="1"/>
  <c r="D229" i="1"/>
  <c r="F228" i="1"/>
  <c r="E228" i="1"/>
  <c r="D228" i="1"/>
  <c r="F227" i="1"/>
  <c r="E227" i="1"/>
  <c r="D227" i="1"/>
  <c r="F226" i="1"/>
  <c r="E226" i="1"/>
  <c r="D226" i="1"/>
  <c r="F225" i="1"/>
  <c r="E225" i="1"/>
  <c r="D225" i="1"/>
  <c r="F224" i="1"/>
  <c r="E224" i="1"/>
  <c r="D224" i="1"/>
  <c r="F223" i="1"/>
  <c r="E223" i="1"/>
  <c r="D223" i="1"/>
  <c r="F222" i="1"/>
  <c r="E222" i="1"/>
  <c r="D222" i="1"/>
  <c r="F221" i="1"/>
  <c r="E221" i="1"/>
  <c r="D221" i="1"/>
  <c r="F220" i="1"/>
  <c r="E220" i="1"/>
  <c r="D220" i="1"/>
  <c r="F219" i="1"/>
  <c r="E219" i="1"/>
  <c r="D219" i="1"/>
  <c r="F218" i="1"/>
  <c r="E218" i="1"/>
  <c r="D218" i="1"/>
  <c r="F217" i="1"/>
  <c r="E217" i="1"/>
  <c r="D217" i="1"/>
  <c r="F216" i="1"/>
  <c r="E216" i="1"/>
  <c r="D216" i="1"/>
  <c r="F215" i="1"/>
  <c r="E215" i="1"/>
  <c r="D215" i="1"/>
  <c r="F214" i="1"/>
  <c r="E214" i="1"/>
  <c r="D214" i="1"/>
  <c r="F213" i="1"/>
  <c r="E213" i="1"/>
  <c r="D213" i="1"/>
  <c r="F212" i="1"/>
  <c r="E212" i="1"/>
  <c r="D212" i="1"/>
  <c r="F211" i="1"/>
  <c r="E211" i="1"/>
  <c r="D211" i="1"/>
  <c r="F210" i="1"/>
  <c r="E210" i="1"/>
  <c r="D210" i="1"/>
  <c r="F209" i="1"/>
  <c r="E209" i="1"/>
  <c r="D209" i="1"/>
  <c r="F208" i="1"/>
  <c r="E208" i="1"/>
  <c r="D208" i="1"/>
  <c r="F207" i="1"/>
  <c r="E207" i="1"/>
  <c r="D207" i="1"/>
  <c r="F206" i="1"/>
  <c r="E206" i="1"/>
  <c r="D206" i="1"/>
  <c r="F205" i="1"/>
  <c r="E205" i="1"/>
  <c r="D205" i="1"/>
  <c r="F204" i="1"/>
  <c r="E204" i="1"/>
  <c r="D204" i="1"/>
  <c r="F203" i="1"/>
  <c r="E203" i="1"/>
  <c r="D203" i="1"/>
  <c r="F202" i="1"/>
  <c r="E202" i="1"/>
  <c r="D202" i="1"/>
  <c r="F201" i="1"/>
  <c r="E201" i="1"/>
  <c r="D201" i="1"/>
  <c r="F200" i="1"/>
  <c r="E200" i="1"/>
  <c r="D200" i="1"/>
  <c r="F199" i="1"/>
  <c r="E199" i="1"/>
  <c r="D199" i="1"/>
  <c r="F198" i="1"/>
  <c r="E198" i="1"/>
  <c r="D198" i="1"/>
  <c r="F197" i="1"/>
  <c r="E197" i="1"/>
  <c r="D197" i="1"/>
  <c r="F196" i="1"/>
  <c r="E196" i="1"/>
  <c r="D196" i="1"/>
  <c r="F195" i="1"/>
  <c r="E195" i="1"/>
  <c r="D195" i="1"/>
  <c r="F194" i="1"/>
  <c r="E194" i="1"/>
  <c r="D194" i="1"/>
  <c r="F193" i="1"/>
  <c r="E193" i="1"/>
  <c r="D193" i="1"/>
  <c r="F192" i="1"/>
  <c r="E192" i="1"/>
  <c r="D192" i="1"/>
  <c r="F191" i="1"/>
  <c r="E191" i="1"/>
  <c r="D191" i="1"/>
  <c r="F190" i="1"/>
  <c r="E190" i="1"/>
  <c r="D190" i="1"/>
  <c r="F189" i="1"/>
  <c r="E189" i="1"/>
  <c r="D189" i="1"/>
  <c r="F188" i="1"/>
  <c r="E188" i="1"/>
  <c r="D188" i="1"/>
  <c r="F187" i="1"/>
  <c r="E187" i="1"/>
  <c r="D187" i="1"/>
  <c r="F186" i="1"/>
  <c r="E186" i="1"/>
  <c r="D186" i="1"/>
  <c r="F185" i="1"/>
  <c r="E185" i="1"/>
  <c r="D185" i="1"/>
  <c r="F184" i="1"/>
  <c r="E184" i="1"/>
  <c r="D184" i="1"/>
  <c r="F183" i="1"/>
  <c r="E183" i="1"/>
  <c r="D183" i="1"/>
  <c r="F182" i="1"/>
  <c r="E182" i="1"/>
  <c r="D182" i="1"/>
  <c r="F181" i="1"/>
  <c r="E181" i="1"/>
  <c r="D181" i="1"/>
  <c r="F180" i="1"/>
  <c r="E180" i="1"/>
  <c r="D180" i="1"/>
  <c r="F179" i="1"/>
  <c r="E179" i="1"/>
  <c r="D179" i="1"/>
  <c r="F178" i="1"/>
  <c r="E178" i="1"/>
  <c r="D178" i="1"/>
  <c r="F177" i="1"/>
  <c r="E177" i="1"/>
  <c r="D177" i="1"/>
  <c r="F176" i="1"/>
  <c r="E176" i="1"/>
  <c r="D176" i="1"/>
  <c r="F175" i="1"/>
  <c r="E175" i="1"/>
  <c r="D175" i="1"/>
  <c r="F174" i="1"/>
  <c r="E174" i="1"/>
  <c r="D174" i="1"/>
  <c r="F173" i="1"/>
  <c r="E173" i="1"/>
  <c r="D173" i="1"/>
  <c r="F172" i="1"/>
  <c r="E172" i="1"/>
  <c r="D172" i="1"/>
  <c r="F171" i="1"/>
  <c r="E171" i="1"/>
  <c r="D171" i="1"/>
  <c r="F170" i="1"/>
  <c r="E170" i="1"/>
  <c r="D170" i="1"/>
  <c r="F169" i="1"/>
  <c r="E169" i="1"/>
  <c r="D169" i="1"/>
  <c r="F168" i="1"/>
  <c r="E168" i="1"/>
  <c r="D168" i="1"/>
  <c r="F167" i="1"/>
  <c r="E167" i="1"/>
  <c r="D167" i="1"/>
  <c r="F166" i="1"/>
  <c r="E166" i="1"/>
  <c r="D166" i="1"/>
  <c r="F165" i="1"/>
  <c r="E165" i="1"/>
  <c r="D165" i="1"/>
  <c r="F164" i="1"/>
  <c r="E164" i="1"/>
  <c r="D164" i="1"/>
  <c r="F163" i="1"/>
  <c r="E163" i="1"/>
  <c r="D163" i="1"/>
  <c r="F162" i="1"/>
  <c r="E162" i="1"/>
  <c r="D162" i="1"/>
  <c r="F161" i="1"/>
  <c r="E161" i="1"/>
  <c r="D161" i="1"/>
  <c r="F160" i="1"/>
  <c r="E160" i="1"/>
  <c r="D160" i="1"/>
  <c r="F159" i="1"/>
  <c r="E159" i="1"/>
  <c r="D159" i="1"/>
  <c r="F158" i="1"/>
  <c r="E158" i="1"/>
  <c r="D158" i="1"/>
  <c r="F157" i="1"/>
  <c r="E157" i="1"/>
  <c r="D157" i="1"/>
  <c r="F156" i="1"/>
  <c r="E156" i="1"/>
  <c r="D156" i="1"/>
  <c r="F155" i="1"/>
  <c r="E155" i="1"/>
  <c r="D155" i="1"/>
  <c r="F154" i="1"/>
  <c r="E154" i="1"/>
  <c r="D154" i="1"/>
  <c r="F153" i="1"/>
  <c r="E153" i="1"/>
  <c r="D153" i="1"/>
  <c r="F152" i="1"/>
  <c r="E152" i="1"/>
  <c r="D152" i="1"/>
  <c r="F151" i="1"/>
  <c r="E151" i="1"/>
  <c r="D151" i="1"/>
  <c r="F150" i="1"/>
  <c r="E150" i="1"/>
  <c r="D150" i="1"/>
  <c r="F149" i="1"/>
  <c r="E149" i="1"/>
  <c r="D149" i="1"/>
  <c r="F148" i="1"/>
  <c r="E148" i="1"/>
  <c r="D148" i="1"/>
  <c r="F147" i="1"/>
  <c r="E147" i="1"/>
  <c r="D147" i="1"/>
  <c r="F146" i="1"/>
  <c r="E146" i="1"/>
  <c r="D146" i="1"/>
  <c r="F145" i="1"/>
  <c r="E145" i="1"/>
  <c r="D145" i="1"/>
  <c r="F144" i="1"/>
  <c r="E144" i="1"/>
  <c r="D144" i="1"/>
  <c r="F143" i="1"/>
  <c r="E143" i="1"/>
  <c r="D143" i="1"/>
  <c r="F142" i="1"/>
  <c r="E142" i="1"/>
  <c r="D142" i="1"/>
  <c r="F141" i="1"/>
  <c r="E141" i="1"/>
  <c r="D141" i="1"/>
  <c r="F140" i="1"/>
  <c r="E140" i="1"/>
  <c r="D140" i="1"/>
  <c r="F139" i="1"/>
  <c r="E139" i="1"/>
  <c r="D139" i="1"/>
  <c r="F138" i="1"/>
  <c r="E138" i="1"/>
  <c r="D138" i="1"/>
  <c r="F137" i="1"/>
  <c r="E137" i="1"/>
  <c r="D137" i="1"/>
  <c r="F136" i="1"/>
  <c r="E136" i="1"/>
  <c r="D136" i="1"/>
  <c r="F135" i="1"/>
  <c r="E135" i="1"/>
  <c r="D135" i="1"/>
  <c r="F134" i="1"/>
  <c r="E134" i="1"/>
  <c r="D134" i="1"/>
  <c r="F133" i="1"/>
  <c r="E133" i="1"/>
  <c r="D133" i="1"/>
  <c r="F132" i="1"/>
  <c r="E132" i="1"/>
  <c r="D132" i="1"/>
  <c r="F131" i="1"/>
  <c r="E131" i="1"/>
  <c r="D131" i="1"/>
  <c r="F130" i="1"/>
  <c r="E130" i="1"/>
  <c r="D130" i="1"/>
  <c r="F129" i="1"/>
  <c r="E129" i="1"/>
  <c r="D129" i="1"/>
  <c r="F128" i="1"/>
  <c r="E128" i="1"/>
  <c r="D128" i="1"/>
  <c r="F127" i="1"/>
  <c r="E127" i="1"/>
  <c r="D127" i="1"/>
  <c r="F126" i="1"/>
  <c r="E126" i="1"/>
  <c r="D126" i="1"/>
  <c r="F125" i="1"/>
  <c r="E125" i="1"/>
  <c r="D125" i="1"/>
  <c r="F124" i="1"/>
  <c r="E124" i="1"/>
  <c r="D124" i="1"/>
  <c r="F123" i="1"/>
  <c r="E123" i="1"/>
  <c r="D123" i="1"/>
  <c r="F122" i="1"/>
  <c r="E122" i="1"/>
  <c r="D122" i="1"/>
  <c r="F121" i="1"/>
  <c r="E121" i="1"/>
  <c r="D121" i="1"/>
  <c r="F120" i="1"/>
  <c r="E120" i="1"/>
  <c r="D120" i="1"/>
  <c r="F119" i="1"/>
  <c r="E119" i="1"/>
  <c r="D119" i="1"/>
  <c r="F118" i="1"/>
  <c r="E118" i="1"/>
  <c r="D118" i="1"/>
  <c r="F117" i="1"/>
  <c r="E117" i="1"/>
  <c r="D117" i="1"/>
  <c r="F116" i="1"/>
  <c r="E116" i="1"/>
  <c r="D116" i="1"/>
  <c r="F115" i="1"/>
  <c r="E115" i="1"/>
  <c r="D115" i="1"/>
  <c r="F114" i="1"/>
  <c r="E114" i="1"/>
  <c r="D114" i="1"/>
  <c r="F113" i="1"/>
  <c r="E113" i="1"/>
  <c r="D113" i="1"/>
  <c r="F112" i="1"/>
  <c r="E112" i="1"/>
  <c r="D112" i="1"/>
  <c r="F111" i="1"/>
  <c r="E111" i="1"/>
  <c r="D111" i="1"/>
  <c r="F110" i="1"/>
  <c r="E110" i="1"/>
  <c r="D110" i="1"/>
  <c r="F109" i="1"/>
  <c r="E109" i="1"/>
  <c r="D109" i="1"/>
  <c r="F108" i="1"/>
  <c r="E108" i="1"/>
  <c r="D108" i="1"/>
  <c r="F107" i="1"/>
  <c r="E107" i="1"/>
  <c r="D107" i="1"/>
  <c r="F106" i="1"/>
  <c r="E106" i="1"/>
  <c r="D106" i="1"/>
  <c r="F105" i="1"/>
  <c r="E105" i="1"/>
  <c r="D105" i="1"/>
  <c r="F104" i="1"/>
  <c r="E104" i="1"/>
  <c r="D104" i="1"/>
  <c r="F103" i="1"/>
  <c r="E103" i="1"/>
  <c r="D103" i="1"/>
  <c r="F102" i="1"/>
  <c r="E102" i="1"/>
  <c r="D102" i="1"/>
  <c r="F101" i="1"/>
  <c r="E101" i="1"/>
  <c r="D101" i="1"/>
  <c r="F100" i="1"/>
  <c r="E100" i="1"/>
  <c r="D100" i="1"/>
  <c r="F99" i="1"/>
  <c r="E99" i="1"/>
  <c r="D99" i="1"/>
  <c r="F98" i="1"/>
  <c r="E98" i="1"/>
  <c r="D98" i="1"/>
  <c r="F97" i="1"/>
  <c r="E97" i="1"/>
  <c r="D97" i="1"/>
  <c r="F96" i="1"/>
  <c r="E96" i="1"/>
  <c r="D96" i="1"/>
  <c r="F95" i="1"/>
  <c r="E95" i="1"/>
  <c r="D95" i="1"/>
  <c r="F94" i="1"/>
  <c r="E94" i="1"/>
  <c r="D94" i="1"/>
  <c r="F93" i="1"/>
  <c r="E93" i="1"/>
  <c r="D93" i="1"/>
  <c r="F92" i="1"/>
  <c r="E92" i="1"/>
  <c r="D92" i="1"/>
  <c r="F91" i="1"/>
  <c r="E91" i="1"/>
  <c r="D91" i="1"/>
  <c r="F90" i="1"/>
  <c r="E90" i="1"/>
  <c r="D90" i="1"/>
  <c r="F89" i="1"/>
  <c r="E89" i="1"/>
  <c r="D89" i="1"/>
  <c r="F88" i="1"/>
  <c r="E88" i="1"/>
  <c r="D88" i="1"/>
  <c r="F87" i="1"/>
  <c r="E87" i="1"/>
  <c r="D87" i="1"/>
  <c r="F86" i="1"/>
  <c r="E86" i="1"/>
  <c r="D86" i="1"/>
  <c r="F85" i="1"/>
  <c r="E85" i="1"/>
  <c r="D85" i="1"/>
  <c r="F84" i="1"/>
  <c r="E84" i="1"/>
  <c r="D84" i="1"/>
  <c r="F83" i="1"/>
  <c r="E83" i="1"/>
  <c r="D83" i="1"/>
  <c r="F82" i="1"/>
  <c r="E82" i="1"/>
  <c r="D82" i="1"/>
  <c r="F81" i="1"/>
  <c r="E81" i="1"/>
  <c r="D81" i="1"/>
  <c r="F80" i="1"/>
  <c r="E80" i="1"/>
  <c r="D80" i="1"/>
  <c r="F79" i="1"/>
  <c r="E79" i="1"/>
  <c r="D79" i="1"/>
  <c r="F78" i="1"/>
  <c r="E78" i="1"/>
  <c r="D78" i="1"/>
  <c r="F77" i="1"/>
  <c r="E77" i="1"/>
  <c r="D77" i="1"/>
  <c r="F76" i="1"/>
  <c r="E76" i="1"/>
  <c r="D76" i="1"/>
  <c r="F75" i="1"/>
  <c r="E75" i="1"/>
  <c r="D75" i="1"/>
  <c r="F74" i="1"/>
  <c r="E74" i="1"/>
  <c r="D74" i="1"/>
  <c r="F73" i="1"/>
  <c r="E73" i="1"/>
  <c r="D73" i="1"/>
  <c r="F72" i="1"/>
  <c r="E72" i="1"/>
  <c r="D72" i="1"/>
  <c r="F71" i="1"/>
  <c r="E71" i="1"/>
  <c r="D71" i="1"/>
  <c r="F70" i="1"/>
  <c r="E70" i="1"/>
  <c r="D70" i="1"/>
  <c r="F69" i="1"/>
  <c r="E69" i="1"/>
  <c r="D69" i="1"/>
  <c r="F68" i="1"/>
  <c r="E68" i="1"/>
  <c r="D68" i="1"/>
  <c r="F67" i="1"/>
  <c r="E67" i="1"/>
  <c r="D67" i="1"/>
  <c r="F66" i="1"/>
  <c r="E66" i="1"/>
  <c r="D66" i="1"/>
  <c r="F65" i="1"/>
  <c r="E65" i="1"/>
  <c r="D65" i="1"/>
  <c r="F64" i="1"/>
  <c r="E64" i="1"/>
  <c r="D64" i="1"/>
  <c r="F63" i="1"/>
  <c r="E63" i="1"/>
  <c r="D63" i="1"/>
  <c r="F62" i="1"/>
  <c r="E62" i="1"/>
  <c r="D62" i="1"/>
  <c r="F61" i="1"/>
  <c r="E61" i="1"/>
  <c r="D61" i="1"/>
  <c r="F60" i="1"/>
  <c r="E60" i="1"/>
  <c r="D60" i="1"/>
  <c r="F59" i="1"/>
  <c r="E59" i="1"/>
  <c r="D59" i="1"/>
  <c r="F58" i="1"/>
  <c r="E58" i="1"/>
  <c r="D58" i="1"/>
  <c r="F57" i="1"/>
  <c r="E57" i="1"/>
  <c r="D57" i="1"/>
  <c r="F56" i="1"/>
  <c r="E56" i="1"/>
  <c r="D56" i="1"/>
  <c r="F55" i="1"/>
  <c r="E55" i="1"/>
  <c r="D55" i="1"/>
  <c r="F54" i="1"/>
  <c r="E54" i="1"/>
  <c r="D54" i="1"/>
  <c r="F53" i="1"/>
  <c r="E53" i="1"/>
  <c r="D53" i="1"/>
  <c r="F52" i="1"/>
  <c r="E52" i="1"/>
  <c r="D52" i="1"/>
  <c r="F51" i="1"/>
  <c r="E51" i="1"/>
  <c r="D51" i="1"/>
  <c r="F50" i="1"/>
  <c r="E50" i="1"/>
  <c r="D50" i="1"/>
  <c r="F49" i="1"/>
  <c r="E49" i="1"/>
  <c r="D49" i="1"/>
  <c r="F48" i="1"/>
  <c r="E48" i="1"/>
  <c r="D48" i="1"/>
  <c r="F47" i="1"/>
  <c r="E47" i="1"/>
  <c r="D47" i="1"/>
  <c r="F46" i="1"/>
  <c r="E46" i="1"/>
  <c r="D46" i="1"/>
  <c r="F45" i="1"/>
  <c r="E45" i="1"/>
  <c r="D45" i="1"/>
  <c r="F44" i="1"/>
  <c r="E44" i="1"/>
  <c r="D44" i="1"/>
  <c r="F40" i="1"/>
  <c r="E40" i="1"/>
  <c r="D40" i="1"/>
  <c r="F39" i="1"/>
  <c r="E39" i="1"/>
  <c r="D39" i="1"/>
  <c r="F38" i="1"/>
  <c r="E38" i="1"/>
  <c r="D38" i="1"/>
  <c r="F37" i="1"/>
  <c r="E37" i="1"/>
  <c r="D37" i="1"/>
  <c r="F36" i="1"/>
  <c r="E36" i="1"/>
  <c r="F35" i="1"/>
  <c r="E35" i="1"/>
  <c r="D35" i="1"/>
  <c r="F34" i="1"/>
  <c r="E34" i="1"/>
  <c r="D34" i="1"/>
  <c r="F33" i="1"/>
  <c r="E33" i="1"/>
  <c r="D33" i="1"/>
  <c r="F32" i="1"/>
  <c r="E32" i="1"/>
  <c r="D32" i="1"/>
  <c r="F31" i="1"/>
  <c r="E31" i="1"/>
  <c r="D31" i="1"/>
  <c r="F30" i="1"/>
  <c r="E30" i="1"/>
  <c r="D30" i="1"/>
  <c r="F29" i="1"/>
  <c r="E29" i="1"/>
  <c r="D29" i="1"/>
  <c r="F28" i="1"/>
  <c r="E28" i="1"/>
  <c r="D28" i="1"/>
  <c r="F27" i="1"/>
  <c r="E27" i="1"/>
  <c r="D27" i="1"/>
  <c r="F26" i="1"/>
  <c r="E26" i="1"/>
  <c r="D26" i="1"/>
  <c r="F25" i="1"/>
  <c r="E25" i="1"/>
  <c r="D25" i="1"/>
  <c r="F24" i="1"/>
  <c r="E24" i="1"/>
  <c r="D24" i="1"/>
  <c r="F23" i="1"/>
  <c r="E23" i="1"/>
  <c r="D23" i="1"/>
  <c r="F22" i="1"/>
  <c r="E22" i="1"/>
  <c r="D22" i="1"/>
  <c r="F21" i="1"/>
  <c r="E21" i="1"/>
  <c r="D21" i="1"/>
  <c r="F20" i="1"/>
  <c r="E20" i="1"/>
  <c r="D20" i="1"/>
  <c r="F19" i="1"/>
  <c r="E19" i="1"/>
  <c r="D19" i="1"/>
  <c r="F18" i="1"/>
  <c r="E18" i="1"/>
  <c r="D18" i="1"/>
  <c r="F17" i="1"/>
  <c r="E17" i="1"/>
  <c r="D17" i="1"/>
  <c r="F16" i="1"/>
  <c r="E16" i="1"/>
  <c r="D16" i="1"/>
  <c r="F15" i="1"/>
  <c r="E15" i="1"/>
  <c r="D15" i="1"/>
  <c r="F14" i="1"/>
  <c r="E14" i="1"/>
  <c r="D14" i="1"/>
  <c r="F13" i="1"/>
  <c r="E13" i="1"/>
  <c r="D13" i="1"/>
  <c r="F12" i="1"/>
  <c r="E12" i="1"/>
  <c r="D12" i="1"/>
  <c r="F11" i="1"/>
  <c r="E11" i="1"/>
  <c r="D11" i="1"/>
  <c r="F10" i="1"/>
  <c r="E10" i="1"/>
  <c r="D10" i="1"/>
  <c r="F9" i="1"/>
  <c r="E9" i="1"/>
  <c r="D9" i="1"/>
  <c r="F8" i="1"/>
  <c r="E8" i="1"/>
  <c r="D8" i="1"/>
  <c r="F7" i="1"/>
  <c r="E7" i="1"/>
  <c r="D7" i="1"/>
  <c r="F6" i="1"/>
  <c r="E6" i="1"/>
  <c r="D6" i="1"/>
  <c r="F5" i="1"/>
  <c r="E5" i="1"/>
  <c r="D5" i="1"/>
</calcChain>
</file>

<file path=xl/sharedStrings.xml><?xml version="1.0" encoding="utf-8"?>
<sst xmlns="http://schemas.openxmlformats.org/spreadsheetml/2006/main" count="1063" uniqueCount="878">
  <si>
    <t>Término</t>
  </si>
  <si>
    <t>Categoría</t>
  </si>
  <si>
    <t>Definición</t>
  </si>
  <si>
    <t>Inglés</t>
  </si>
  <si>
    <t>Francés</t>
  </si>
  <si>
    <t>Alemán</t>
  </si>
  <si>
    <t>abate</t>
  </si>
  <si>
    <t>procesos</t>
  </si>
  <si>
    <t>A los efectos de abatir matar animales- proceso ejecutado moderadamente en frigoríficos para el consumo tales como ganado, aves, etc. Ganado de abate- lo que es destinado al corte.</t>
  </si>
  <si>
    <t>ablandado</t>
  </si>
  <si>
    <t>El objetivo es darle al cuero la flexibilidad necesaria para el artículo que deseamos, ya sea por palizón, ablandado a rueda o a pistón (mollisa). La elección de la máquina de ablandar y la forma de realizar el mismo depende del tipo de cuero a procesar y del artículo. Por ejemplo un cuero para capellada conviene ablandar cabeza y patas con palizón y luego pasar el cuero por mollisa. En el caso de un cuero para vestimenta conviene ablandar la periferia en la rueda-abridora y luego palizonar todo el cuero. Lo que en definitiva se quiere evitar es que el cuero se rompa. También se utiliza este tipo de máquina para ablandar cueros pequeños como cabritos, becerros y ovejas.
Una vez ablandados los cueros y antes de que empiecen a secarse se los estiran en el togling para dejarles un 10-14% de humedad. El togling no debe estar muy caliente (30-35°) para no resecar y acartonar el cuero. Se desclavan y se dejan reposar un cierto tiempo para que vaya absorbiendo la humedad ambiente y uniformizar la partida.</t>
  </si>
  <si>
    <t>abrasión</t>
  </si>
  <si>
    <t>Efecto que el cuero sufre durante el proceso del lijado, por la utilización de un material abrasivo. Se denomina test de abrasión el test físico mecánico para verificar, a través de un rollo abrasivo en equipamiento padronizado, la resistencia del cuero a tal acción.</t>
  </si>
  <si>
    <t>abrillantada</t>
  </si>
  <si>
    <t>Piel acabada por el lado flor, con una superficie brillante, suave, lustrosa o vítrea.</t>
  </si>
  <si>
    <t>abrillantado</t>
  </si>
  <si>
    <t>Operación mecánica mediante la cual se obtiene un acabado brillante o vítreo en la superficie de la flor de un curtido debidamente preparado.</t>
  </si>
  <si>
    <t>absorción</t>
  </si>
  <si>
    <t>Poder que el cuero tiene de incorporar además de agua, otros sustancias como productos químicos, pigmentos, aceites, etc. en las diferentes etapas del proceso del curtido.</t>
  </si>
  <si>
    <t>acabado</t>
  </si>
  <si>
    <t>Composición de capas de diferente naturaleza química que recubren la flor del cuero, proporcionando color, brillo, efectos y protección. Comprende una serie de tratamientos al cual se somete la piel curtida para obtener determinadas propiedades. Estos tratamientos siempre van dirigidos para proporcionar mejoras y propiedades especiales, ya sea del lado de la flor o del lado de la carne. Con el acabado también se le proporciona al cuero protección contra los daños mecánicos, humedad, resistencia a la elaboración del artículo, suciedad; así como dar el efecto de moda deseado, como ser brillo, mate, doble tono, etc.También los acabados se efectúan para igualar o aumentar de intensidad las tinturas desiguales, para ocultar defectos de flor o para dar un determinado tacto. En el caso de cueros desflorados, el acabado reconstituye la flor del cuero.</t>
  </si>
  <si>
    <t>acabado a base de agua</t>
  </si>
  <si>
    <t>Acabado hecho con pigmento o anilina teniendo como solvente el agua.</t>
  </si>
  <si>
    <t>acabado a base de nitrocelulosa</t>
  </si>
  <si>
    <t>Pintura de cobertura nitrocelulósica también llamada pintura coloidal Normalmente insoluble en agua. Preparada con solventes orgánicos Se emplean preferentemente como lacas nitrocelulósicas con diferentes porcentaje de sólidos. El film formado por la nitrocelulosa es aplicado como principal componente, sobre todo como lustre o top final.</t>
  </si>
  <si>
    <t>acabado anilina</t>
  </si>
  <si>
    <t>Acabado transparente realizado con colorantes o anilinas, con la finalidad de igualar los teñidos hechos en fulón. El acabado anilina se distingue de los demás debido a la ausencia de pigmentos de cobertura y por permitir la fácil integridad de la flor.</t>
  </si>
  <si>
    <t>acabado con apresto final</t>
  </si>
  <si>
    <t>Curtido al cual se ha aplicado una capa final de acabado para otorgarle propiedades especiales, tales como lustre, unidad de color, solidez de color al frote húmedo, impermeabilidad u otras características similares.</t>
  </si>
  <si>
    <t>acabado con pigmentos</t>
  </si>
  <si>
    <t>Curtido a cuya superficie se ha aplicado una o más capas de productos que contienen pigmentos en suspensión.</t>
  </si>
  <si>
    <t>acabado con resinas</t>
  </si>
  <si>
    <t>Curtido al que se ha aplicado una o más capas de productos que con, tienen un polímero, generalmente una resina sintética termoplástica.</t>
  </si>
  <si>
    <t>acabado esfumado</t>
  </si>
  <si>
    <t>Sombreado que se da a ciertas partes de los curtidos para calzado, vestimenta, etc.; esta operación frecuentemente la efectúa el fabricante de esas manufacturas.</t>
  </si>
  <si>
    <t>acabado lustrable</t>
  </si>
  <si>
    <t>Acabado susceptible al lustrado. Esto es acabado que puede ser lustrado o pulido. En este tipo de acabado se usan productos que necesitan ser resistentes y producir brillo.</t>
  </si>
  <si>
    <t>acabado mate</t>
  </si>
  <si>
    <t>Acabado caracterizado por no presentar brillo en el top final.</t>
  </si>
  <si>
    <t>acabado plástico</t>
  </si>
  <si>
    <t>Acabados donde se usan productos de características termoplásticas. Acabados que se efectúan con placas lisas o de grabados. Los ligantes de polímeros termoplásticos no se pueden lustrar salvo raras excepciones porque se funden por la acción de la presión y del calor tornándose pegajosos y con un toque plastificado modificando el toque natural del acabado. Acabados fuertemente pigmentados normalmente que presentan un aspecto muy plástico.</t>
  </si>
  <si>
    <t>acabado por la flor</t>
  </si>
  <si>
    <t>Curtido que tiene la capa flor corregida o no y ha sido acabado por dicho lado.</t>
  </si>
  <si>
    <t>acabado semi-anilina</t>
  </si>
  <si>
    <t>Curtido teñido con anilina y al que se ha aplicado una capa de pigmentos tan ligera, que no oculta sus características naturales.</t>
  </si>
  <si>
    <t>acacia</t>
  </si>
  <si>
    <t>materiales</t>
  </si>
  <si>
    <t>Vegetal de la familia de las leguminosas. Subfamilia de las mimosáceas nativas de Australia y posteriormente cultivadas en otros países. Si bien se conocen algunas centenas de especies y variedades de acacias, sólo se utilizan como fuente de tanino algunas como las 3 especies australianas: la acacia decurrents, peninervis y pycnantha. Estos vegetales despiertan atención no sólo por el tenor sino también por las características del tanino extraído de sus cáscaras, capaz de crear cueros de buena calidad, pero también por tener un ciclo vegetativo corto, proporcionando así un apreciable rendimiento económico. Además sirven como madera para construcción, combustible y también materia prima para la industria de la destilación de madera y de celulosa.</t>
  </si>
  <si>
    <t>acetato de sodio</t>
  </si>
  <si>
    <t>CH3COONa.3H2O; masa molecular:136.09. Sal empleada en la curtiembre en los procesos de desasidulacion o neutralización con la finalidad de eliminar la acidez libre. Proporciona una desasidulación de acción suave y posee también un buen efecto de clareamiento del cuero siendo por eso empleado en la fabricación de cueros blancos.</t>
  </si>
  <si>
    <t>acetona</t>
  </si>
  <si>
    <t>CH3COCH3; masa molecular:58.08; punto de ebullición: 56.6ºC Solvente orgánico, líquido incoloro, con un ligero olor dulce. Constituye la cetona más simple; propanona, soluble en agua y solventes orgánicos comunes. La acetona es altamente inflamable, se evapora fácilmente a baja temperatura y es relativamente no tóxica. En la curtiembre es empleada como solvente en determinados acabados. Es utilizada como solvente para grasas, resinas, taninos, etc. También se utiliza en aplicaciones como agente deshidratante de pieles parcialmente procesadas.</t>
  </si>
  <si>
    <t>ácido</t>
  </si>
  <si>
    <t>Compuesto orgánico o inorgánico que reacciona con un metal desprendiendo hidrógeno; reacciona con una base para formar una sal; se disocia en disolución acuosa dando iones hidrógeno (hidrogeniones); tiene un pH menor que 7 y neutraliza medios básicos o alcalinos aceptando un par de electrones de la base y formando un enlace covalente entre el ácido y la base. Se dividen en ácidos orgánicos e inorgánicos minerales; orgánicos son aquellos que presentan carbono (C) en su estructura; inorgánicos o minerales no lo presentan. Todos los ácidos contienen hidrógeno. En la Industria del cuero los ácidos tienen múltiples utilidades: desde el remojo hasta los análisis químicos de laboratorio. El ácido es utilizado principalmente en el píquel y como fijador de colorantes y hasta de aceites.</t>
  </si>
  <si>
    <t>ácido acético</t>
  </si>
  <si>
    <t>CH3COOH; masa molecular:60.03; punto de ebullición:118.0ºC; punto de fusión: 16.7ºC. Ácido orgánico monocarboxílico, liquido incoloro, con olor acre. El ácido acético puro (100%) constituye el ácido acético glacial soluble en alcohol, agua y éter. Se utiliza en la disolución de colorantes básicos y en el lavado antes del recurtido para retirar posibles manchas de cromo.</t>
  </si>
  <si>
    <t>ácido carboxílico</t>
  </si>
  <si>
    <t>Compuesto orgánico que se caracteriza por la presencia uno o más grupos Carboxilo (-COOH). Tiene características ácidas leves. Resulta de la oxidación de aldehídos. Se utiliza en la acidificación de pieles.</t>
  </si>
  <si>
    <t>ácido clorhídrico</t>
  </si>
  <si>
    <t>HCl. Ácido inorgánico; puro y concentrado es una solución incolora humeante mas denso que el agua (masa especifica = 1.19 g/cm3). Concentrado humea en el aire siendo denominado ácido clorhídrico humeante. Su grado de ionización, a 18ºC en la concentración de 0.1 mol por litro de solución es 92.5%. Conocido comercialmente como ácido muriático, con menor concentración. Raramente es utilizado en el píquel de pieles curtidas al cromo o al tanino. Utilizado en muchos análisis químicos y también como descalcificante del proceso del curtido.</t>
  </si>
  <si>
    <t>ácido crómico</t>
  </si>
  <si>
    <t>H2CrO4; masa molecular: 118. Ácido inorgánico soluble en agua. En estado sólido está formado de granos de color oscuro y se obtiene del cromato sódico por reacción con ácido sulfúrico o del mineral cromita. Es muy inestable cuando se intenta obtenerlo se transforma en agua y en trióxido de cromo-oxido de cromo. Sólo es conocido en forma de sales o solución. En el comercio el trióxido de cromo es designado con el nombre de ácido crómico. Es encontrado a través de la reducción del bicromato. La reacción ocurre entre el bicromato de sodio o potasio con ácido sulfúrico al adicionarse un productor se llega al sulfato de cromo desapareciendo el ácido crómico. Es utilizado como pigmento.</t>
  </si>
  <si>
    <t>ácido fórmico</t>
  </si>
  <si>
    <t>HCOOH; masa molecular: 46. Ácido orgánico, monocarboxílico. El término deriva de la palabra latina formica que significa "hormiga", ya que es un ácido elaborado por estos insectos, así como también por las abejas. Líquido incoloro, humeante, cáustico, de olor fuerte e irritante para la piel y los ojos. Se conoce también como ácido metanoico. Como producto comercial, normalmente tiene 85% de concentración. Tiene acción desencalante, siendo empleado limitadamente. Puede ser utilizado en el píquel o en el curtido al cromo, pero no en grandes proporciones. Es también utilizado en el teñido de cueros, como fijador de colorantes.</t>
  </si>
  <si>
    <t>acondicionado del cuero</t>
  </si>
  <si>
    <t>adobado</t>
  </si>
  <si>
    <t>Piel o cuero que ha sufrido una serie de procesos (con excepción del engrasado y cilindrado en el caso del cuero para suelas), más allá de la simple curtición y que para algunos usos ya puede ser utilizado.</t>
  </si>
  <si>
    <t>afelpado</t>
  </si>
  <si>
    <t>Acabado que produce una felpa aterciopelada sobre el curtido por acción abrasiva. Denominación genérica aplicada a los curtidos que han sido acabados con una fina felpa aterciopelada. Pueden indicarse los siguientes tipos: afelpado para botas; ante desflorado; antílope; crupón afelpado; gamuza; gamuza de ciervo; gamuza de cuero vacuno; hoja afelpada; nubuc; piel esquilada afelpada; descarne afelpado; ternera afelpada; velour.</t>
  </si>
  <si>
    <t>afelpado para calzado</t>
  </si>
  <si>
    <t>tipos</t>
  </si>
  <si>
    <t>Curtido afelpado para empeine acabado por el lado carne, fabricado con cueros vacunos. Véase Ternera afelpada.</t>
  </si>
  <si>
    <t>hunting</t>
  </si>
  <si>
    <t>agentes de tacto</t>
  </si>
  <si>
    <t>El usuario al tocar la piel siente el tacto de la última capa aplicada que es la que se pone en contacto con su mano. Pueden ser emulsiones de ceras, siliconas y algunos tipos de aceites, etc. No hay una escala para medir cuando un cuero es más frenante o menos frenante, pero los agentes de toque son interesantes para darle, sobre todo en los cueros vestimenta un buen tacto.</t>
  </si>
  <si>
    <t>anca de potro</t>
  </si>
  <si>
    <t>Curtido de la zona llamada espejo, de un crupón de cuero equino. Se trata de una capa muy compacta, en forma de riñón, que se da únicamente en los equinos y que se obtiene eliminando las capas exteriores que la recubren por arriba y por abajo, curtida al vegetal y engrasada.</t>
  </si>
  <si>
    <t>ancón</t>
  </si>
  <si>
    <t>La parte trasera de un cuero equino obtenida cortándolo de lado a lado, transversalmente al espinazo. El ancón representa aproximadamente, un tercio del cuero entero.</t>
  </si>
  <si>
    <t>anilina</t>
  </si>
  <si>
    <t>Amina aromática líquida de p.e.=184,4°C y cuya fórmula es C6H5NH2. Se sintetiza por reacción de nitrobenceno en fase de vapor con hidrógeno en presencia de un catalizador,
quitando dos átomos de oxígeno de nitrobenceno para formar anilina y agua; o por reacción de cloro-benceno con amoníaco. Uno de sus usos es como punto de partida para una extensa e importante familia de tintes orgánicos.  
La anilina es tóxica y se absorbe por la piel,  por lo tanto debe manipularse con cuidado.</t>
  </si>
  <si>
    <t>ante</t>
  </si>
  <si>
    <t>Ver afelpado</t>
  </si>
  <si>
    <t>suede</t>
  </si>
  <si>
    <t>daim</t>
  </si>
  <si>
    <t>Wildleder</t>
  </si>
  <si>
    <t>ante desflorado</t>
  </si>
  <si>
    <t>Afelpado por el lado carne, cuya flor ha sido total o parcialmente separada después de la curtición.</t>
  </si>
  <si>
    <t>ante doble cara</t>
  </si>
  <si>
    <t>Piel ovina curtida y acabada, con lana corta, afelpada por el lado carne.</t>
  </si>
  <si>
    <t>antílope (antílopado)</t>
  </si>
  <si>
    <t>Curtido fino y suave, con una felpa lustrosa y aterciopelada, afelpada por el lado carne.</t>
  </si>
  <si>
    <t>ASA-Leder</t>
  </si>
  <si>
    <t>Abreviación usada comúnmente para denominar los curtidos empleados en la producción de artículos de protección utilizados en la industria, normalmente manufacturados con cueros bovinos curtidos al cromo. (Arbeiter Schutzartikel = ASA).</t>
  </si>
  <si>
    <t>auxiliares</t>
  </si>
  <si>
    <t>Son una gama muy grande de productos que ayudan a la terminación, modificando determinado tipo de propiedades, como por ejemplo el tacto, el aspecto, el brillo y la absorción.</t>
  </si>
  <si>
    <t>baby-calf</t>
  </si>
  <si>
    <t>Curtido elaborado con pieles de ternera pequeña y de poco peso, con flor lisa o ligeramente graneada, exenta de cualquier grano artificial. El acabado puede ser más o menos brillante, obtenido mediante lustrado y/o planchado.</t>
  </si>
  <si>
    <t>bacteria</t>
  </si>
  <si>
    <t>Microorganismos compuestos generalmente de proteínas y ácidos nucleicos. Tienen funciones beneficiosas muy importantes, algunas de las cuales son la fabricación de etanol, antibióticos por fermentación, fijación del nitrógeno al suelo, tratamiento de aguas residuales por procesos de lodos activados, etc. Pero también son causa de numerosas fermentaciones, putrefacción y producen graves enfermedades. En las curtiembres las bacterias atacan el colágeno de la piel del animal y pueden llegar a destruir todas las sustancias dérmicas que contiene la piel. Por eso es muy importante el uso de bactericidas y en el proceso de conservación la deshidratación de las pieles ya que las bacterias necesitan de un ambiente neutro y húmedo.</t>
  </si>
  <si>
    <t>bactericida</t>
  </si>
  <si>
    <t>Producto químico que se utiliza para evitar el desarrollo de bacterias que afectan los diferentes procesos del curtido.</t>
  </si>
  <si>
    <t>badana</t>
  </si>
  <si>
    <t>Piel ovina de buena calidad, de flor cerrada y sin dividir, obtenida por curtido vegetal. De calibre delgado entre 0,6-0,8 mm usualmente utilizado para forrar interiores de bolsos o calzado.</t>
  </si>
  <si>
    <t>Tipo de cuero que se obtiene a partir de la piel de corderos u ovejas jóvenes que aún no han desarrollado una piel gruesa. Tiene una textura suave, que se caracteriza por ser muy resistente y duradero. Es un material muy flexible y cómodo de usar, lo que lo hace ideal para la confección de prendas de vestir como chaquetas, chalecos y pantalones. También se utiliza para la fabricación de bolsos, guantes, zapatos y otros accesorios y para encuadernación</t>
  </si>
  <si>
    <t>barraca</t>
  </si>
  <si>
    <t>espacios</t>
  </si>
  <si>
    <t>Local separado o dentro de la misma curtiembre donde se almacenan todo tipo de pieles.</t>
  </si>
  <si>
    <t>bastardo</t>
  </si>
  <si>
    <t>Término aplicado para designar las pieles ovinas con pelo. La piel puede acabarse afelpada por el lado carne o bien por la flor que es fina y lisa, parecida a la del cabrito.</t>
  </si>
  <si>
    <t xml:space="preserve">becerro  </t>
  </si>
  <si>
    <t>Curtido fabricado con el cuero de un animal bovino que no ha llegado a la madurez. Véase Ternera.</t>
  </si>
  <si>
    <t>becerro engrasado</t>
  </si>
  <si>
    <t>Las pieles de vacuno engrasado con un tratamiento especial con aceites y grasas que les confieren un aspecto envejecido y un toque suave y flexible especialmente apreciado en la marroquinería y la confección de bolsos y accesorios debido a su durabilidad y capacidad para desarrollar una pátina única con el tiempo. Su resistencia a la intemperie y la humedad también lo hace ideal para la fabricación de calzado y artículos de decoración.</t>
  </si>
  <si>
    <t>blando (cuero)</t>
  </si>
  <si>
    <t>Véase Softy.</t>
  </si>
  <si>
    <t>box calf</t>
  </si>
  <si>
    <t>Piel de ternero curtida al puro cromo, negra o coloreada, lisa o graneada; considerada el mejor material para la pala del calzado.</t>
  </si>
  <si>
    <t>BRIDAS (Cuero para Talabartería)</t>
  </si>
  <si>
    <t>Un tipo de guarnimiento resistente y flexible, con un acabado liso, elaborado con cueros de buey o vaca, curtidos al vegetal y engrasados.</t>
  </si>
  <si>
    <t>cabretilla al cromo</t>
  </si>
  <si>
    <t>Piel de cabrito o cabra para empeine, curtida al puro cromo y a la que se da un acabado liso, lustroso y brillante.</t>
  </si>
  <si>
    <t>cabriola</t>
  </si>
  <si>
    <t>Curtido de un animal cabrío joven recientemente destetado o que no ha llegado a la madurez.</t>
  </si>
  <si>
    <t>cabrito</t>
  </si>
  <si>
    <t>Cuero para empeine, elaborado con piel de cabrito.</t>
  </si>
  <si>
    <t>cabrito afelpado</t>
  </si>
  <si>
    <t>Curtido de piel de cabra acabado con una felpa aterciopelada por el lado carne.</t>
  </si>
  <si>
    <t>cabrito dorado</t>
  </si>
  <si>
    <t>Véase Piel dorada o plateada.</t>
  </si>
  <si>
    <t>cabrito glacé</t>
  </si>
  <si>
    <t>Véase Cabrito para guantería</t>
  </si>
  <si>
    <t>cabrito para guantería</t>
  </si>
  <si>
    <t>Curtido obtenido a partir de la piel de cabrito, destinado para guantería, suave y flexible, capaz de estirarse considerablemente.</t>
  </si>
  <si>
    <t>cachete</t>
  </si>
  <si>
    <t>partes</t>
  </si>
  <si>
    <t>Término usado en Sudamérica para indicar la carilla del cuero bovino. Véase Carilla.</t>
  </si>
  <si>
    <t>capa flor</t>
  </si>
  <si>
    <t>La parte de un cuero o una piel comprendida entre la superficie que queda al descubierto al eliminar el pelo o la lana y la epidermis hasta el nivel de las raíces de los mismos.</t>
  </si>
  <si>
    <t>carilla</t>
  </si>
  <si>
    <t>La parte de un cuero bovino que cubre cada lado de la cabeza.</t>
  </si>
  <si>
    <t>carnaza</t>
  </si>
  <si>
    <t>Término utilizado en Sudamérica para denominar el serraje o descarne. Véase Serraje y Descarne.</t>
  </si>
  <si>
    <t>carne</t>
  </si>
  <si>
    <t>Parte secundaria de la piel una vez es dividida, este por lado y lado tiene la misma textura, no tiene lado liso, se usa principalmente para la extracción de colágeno o elementos de protección personal como guantes para manipulación de objetos calientes.</t>
  </si>
  <si>
    <t>carpincho</t>
  </si>
  <si>
    <t>Piel curtida trabajada por el lado flor, con una muestra similar a la del pecarí. Elaborada a partir de la piel de un roedor acuático oriundo del Uruguay, Argentina y Brasil.</t>
  </si>
  <si>
    <t>centro de falda</t>
  </si>
  <si>
    <t>La zona media de una falda de cuero bovino.</t>
  </si>
  <si>
    <t>cepillo</t>
  </si>
  <si>
    <t>máquinas</t>
  </si>
  <si>
    <t>Se utiliza en lugar de la felpa, para que los cueros tengan grasa en superficie o poca absorción, debido a que el efecto mecánico del cepillo es mucho mayor y con esto se logra una mejor penetración de la formulación del acabado. Por ejemplo es conveniente para descarnes dar una primera mano con cepillo de cerda dura para introducir la pintura entre las fibras, y luego dar una segunda mano con felpa para alisar la superficie.</t>
  </si>
  <si>
    <t>ceras</t>
  </si>
  <si>
    <t>Productos químicos similares a las grasas y aceites, pero con elevadísimos pesos moleculares y son sólidos a temperatura ambiente y tienen bajo punto de fusión. Algunas tienen cadenas de alcoholes bastante importantes. Existen también ceras sintéticas. 
Mezcla cuyos componentes principales son ésteres de ácidos grasos y alcoholes superiores. en terminación se utilizan tanto naturales como sintéticas. Se presentan normalmente en forma de emulsión, siendo las mas utilizada la cera natural de carnauba en terminaciones de calzado y como producto auxiliar (antiadherente) en terminaciones de cueros. Entre las sintéticas se encuentran las amorfas, cristalinas y las parafinas.
Según el tipo de cera podemos regular en la terminación su brillo, toque o mejorar el comportamiento de la película en el planchado. Para la elección de la cera debemos tener en cuenta el punto de fusión partiendo del cual tendremos una idea de la pureza de la misma. Por ejemplo en un cuero que debe ser lustrado debemos emplear una cera de elevado punto de fusión (80-85º) considerando que la acción mecánica del lustrado o pulido genera calor, lo cual funde la cera afectando el brillo final.</t>
  </si>
  <si>
    <t>cerdo</t>
  </si>
  <si>
    <t>La piel en bruto del cerdo doméstico o el curtido elaborado a partir de la misma. El término no es aplicable al curtido elaborado con el descarne de esta piel.</t>
  </si>
  <si>
    <t>cerdo salvaje</t>
  </si>
  <si>
    <t>Piel acabada por el lado flor, obtenida a partir de pieles de pecarí o carpincho. A veces este curtido se desflora y entonces se denomina, piel de cerdo desflorada.</t>
  </si>
  <si>
    <t>CILINDRO PARA HILALTURA (Piel o cuero para)</t>
  </si>
  <si>
    <t>Curtido elaborado con pieles lanares o de ternera, con un acabado liso, flor especialmente fina y una estructura firme y compacta, utilizado en el recubrimiento de los cilindros de estirado, en la maquinaria de hilatura de algodón.</t>
  </si>
  <si>
    <t>cinturones</t>
  </si>
  <si>
    <t>Término utilizado para denominar toda clase de cueros para cinturones.</t>
  </si>
  <si>
    <t>clasificación del cuero</t>
  </si>
  <si>
    <t>Previo al trabajo de acabado propiamente dicho, es necesario realizar una tarea de clasificación de los cueros, en realidad, la segunda clasificación ya que la primera se hace en cromo. La misma debe hacerse teniendo en cuenta el espesor, los daños de flor, ya sean los propios del cuero o por procesos mecánicos (mordeduras de máquinas, salto de americana), la firmeza, la uniformidad de tintura, la absorción de la flor por ejemplo.Una vez separadas las pilas, comenzaremos el trabajo de acabado. Es así que, por ejemplo, los cueros de flor floja y dañados serán desflorados y luego impregnados para darles firmeza; a los que no están bien tintados podemos remontarles el color mediante la aplicación de tinturas a soplete. Si el cuero tiene poca absorción, se la podemos mejorar por medio de penetrantes.</t>
  </si>
  <si>
    <t>colágeno</t>
  </si>
  <si>
    <t>Proteína existente en el tejido conjuntivo del cuerpo, piel, tendones, etc. Es un polipéptido fibroso cuya cadena comprende muchos aminoácidos. Tiene la propiedad de encogerse en agua caliente dentro de un intervalo específico de temperatura (63-65°C para piel de vaca). Este comportamiento es un factor crítico en el curtido, pues la temperatura de encogimiento se incrementa con la extensión del curtido.</t>
  </si>
  <si>
    <t>colorante</t>
  </si>
  <si>
    <t>Los colorantes, también conocidos como anilinas, son sustancias con color, las cuales presentan la característica de ser solubles en agua o disolventes orgánicos y tener grupos reactivos capaces de fijarse a los diversos sustratos, a los cuales se unen de una cierta forma química, comunicándoles color.Son del tipo complejo-metálico, similares a los que se utilizan para teñir la lana. Tienen un átomo de metal por 2 de complejo azoico. Para la practicidad del terminador, estos colorantes vienen en soluciones estándar. La ventaja de tenerlos en solución es que no se necesitan pesadas de precisión, sólo se necesita medir volúmenes. Tienen muy buena solidez a la luz. Uno de los aspectos importantes es que normalmente estos productos en solución se pueden usar tanto en un sistema acuoso, como en un sistema de solventes. Vienen generalmente en un sistema de solventes que aceptan la dilución en agua, siempre y cuando se haga un puente primero con un solvente muy polar, del tipo etílico.Si echamos agua directamente, habría precipitación.</t>
  </si>
  <si>
    <t>contadores de gas (cuero para)</t>
  </si>
  <si>
    <t>Curtido utilizado en la fabricación de diafragmas para contadores de gas y que puede ser impermeabilizado al aire mediante la impregnación con grasas.</t>
  </si>
  <si>
    <t>cordero rasado acabado (peletería)</t>
  </si>
  <si>
    <t>Piel ovina, de lana fina corta o de mediana longitud, que ha sido curtida sin deslanar, teñida y acabada por un proceso que da a la lana un brillo y un estirado, que la hace resistente a la intemperie.</t>
  </si>
  <si>
    <t>cordobán</t>
  </si>
  <si>
    <t>Véase Anca de Potro</t>
  </si>
  <si>
    <t>correa tira tacos (cuero para)</t>
  </si>
  <si>
    <t>Crupón o cuellos curtidos por curtición combinada, o al cromo y engrasados para comunicarles alta resistencia a la tracción, rotura o flexión, que se utilizan en los telares.</t>
  </si>
  <si>
    <t>correas (cuero semi-curtido para)</t>
  </si>
  <si>
    <t>Cuero adecuado para la fabricación de correas de transmisión de máquinas veloces. Se elabora con cueros vacunos depilados y descarnados que se curten directamente o después de un tratamiento con alumbre, con agentes de curtición vegetal, de modo que quede una capa central sin curtir, engrasándose a continuación el producto obtenido.</t>
  </si>
  <si>
    <t>craquelado</t>
  </si>
  <si>
    <t>Acabado tipo crakel o agrietado/envejecido en el cuero.</t>
  </si>
  <si>
    <t>crispado ((piel o cuero)</t>
  </si>
  <si>
    <t>Piel con un aspecto característico de flor crispada, producida originariamente por una eurtición astringente.</t>
  </si>
  <si>
    <t>cromo recurtido</t>
  </si>
  <si>
    <t>Piel o cuero que ha sido curtido al cromo en todo su espesor y luego tratado o curtido con agentes curtientes vegetales y/o sintéticos y/o resinas rellenantes, penetrando estos recurtientes en el interior del cuero, aunque no es necesario que sea a través de todo su espesor.</t>
  </si>
  <si>
    <t>crupón</t>
  </si>
  <si>
    <t xml:space="preserve">La parte del cuero que queda después de separar el cuello y las faldas. Se traza de forma imaginaria donde solo se demarcan las zonas de corte ideales del cuero, algunas curtiembres recortan esta zona entregando al cliente final únicamente la zona del crupón. </t>
  </si>
  <si>
    <t>crupón (u hoja) afelpado</t>
  </si>
  <si>
    <t>Crupón u hoja curtidos, acabados con una felpa aterciopelada por el lado carne.</t>
  </si>
  <si>
    <t>crupón para correas</t>
  </si>
  <si>
    <t>Crupón de cuero bovino seleccionado, que ha sido especialmente curtido, engrasado y adobado, para obtener un cuero resistente y flexible, con mínimo alargamiento a la tracción, adecuado para la fabricación de correas de transmisión.</t>
  </si>
  <si>
    <t>crupón para tira tacos</t>
  </si>
  <si>
    <t>Cuero curtido resistente y flexible, elaborado con crupones bovinos del orden de 1,50 m. de longitud y entre 4 y 5,5 mm. de espesor uniforme, con el lado carne bien rebajado.</t>
  </si>
  <si>
    <t>cruzado</t>
  </si>
  <si>
    <t>Pieles ovinas que tienen pelo en lugar de lana. Los curtidos obtenidos tienen una flor más fina y resistente, que los de pieles ovinas con lana. Véase Bastardo.</t>
  </si>
  <si>
    <t>cuello</t>
  </si>
  <si>
    <t>La parte delantera del cuero bovino que cubre el cuello y los cuartos delanteros del animal, con o sin la cabeza. Si se corta la cabeza (las dos carillas y la testuz), se obtiene un cuello cuadrado.</t>
  </si>
  <si>
    <t>cuello para viras</t>
  </si>
  <si>
    <t>Cuellos de cuero vacuno, de curtición vegetal y de calidad adecuada para la manufactura de viras de calzado.</t>
  </si>
  <si>
    <t>cuero</t>
  </si>
  <si>
    <t>La cubierta exterior de un animal maduro o plenamente desarrollado, de gran tamaño, por ejemplo ganado vacuno y caballar. Curtidos elaborados en base a lo expresado en el párrafo anterior; Cuando se utiliza con este sentido, puede complementarse con el nombre del animal, tipo de curtido, uso, etc., por ejemplo cuero de vaca; cuero de buey; cuero para correas; cuero de curtición vegetal, y otros.</t>
  </si>
  <si>
    <t>cuero cabra</t>
  </si>
  <si>
    <t>Cueros provenientes de cabras adultas, recurtidos y acabados según su destino final. Si está destinado a calzado puede ser capellada o forro.</t>
  </si>
  <si>
    <t>cuero crust</t>
  </si>
  <si>
    <t>Son aquellas pieles simplemente curtidas, secadas después de la neutralización y engrase, sin haber recibido tintura ni acabado. También se le llama curtido al cromo seco.</t>
  </si>
  <si>
    <t>culata</t>
  </si>
  <si>
    <t>La parte trasera de un cuero bovino incluyendo el crupón, los centros de las faldas y las garras traseras. En el caso de una piel equina equivale a Ancón.</t>
  </si>
  <si>
    <t>La parte trasera de un cuero bovino incluyendo el crupón, los centros de las faldas y las garras traseras. En el caso de una piel equina equivale a ANCÓN.</t>
  </si>
  <si>
    <t>curitdo al aceite</t>
  </si>
  <si>
    <t>procesos: curtido</t>
  </si>
  <si>
    <t>Curtido obtenido mediante el tratamiento de aceites de pescado, de animales marinos, o sintéticos, sobre pieles adecuadamente preparadas. Estos aceites se someten después a oxidación u otros cambios químicos, resultando de ello una combinación química de los derivados del aceite con la piel.</t>
  </si>
  <si>
    <t>curtición</t>
  </si>
  <si>
    <t>Conjunto de operaciones físico-químicas, que mediante el adecuado uso de productos químicos, convierten a la piel (comúnmente llamada cuero) en un material durable e imputrescible.</t>
  </si>
  <si>
    <t>curtido</t>
  </si>
  <si>
    <t>Un término general para cueros y pieles que conservan su estructura natural fibrosa y que han sido tratados en forma tal, que resultan imputrescibles, incluso después de un tratamiento con agua. Puede haberse eliminado o no el pelo o la lana. Ciertas pieles tratadas o acabadas de forma análoga, pero sin que se les haya separado el pelo, se denominan "pieles para peletería". No pueden definirse como cueros curtidos, aquellos productos en cuya fabricación la estructura original de la piel se descompone en fibras, polvos u otros fragmentos por medio de procesos químicos o mecánicos y luego se procede a la reconstitución de esos fragmentos en láminas u otras formas.</t>
  </si>
  <si>
    <t>Un término general para cueros y pieles que conservan su estructura natural fibrosa y que han sido tratados en forma tal (véase Curtición), que resultan imputrescibles, incluso después de un tratamiento con agua. Puede haberse eliminado o no el pelo o la lana. Ciertas pieles tratadas o acabadas de forma análoga, pero sin que se les haya separado el pelo, se denominan "pieles para peletería".No pueden definirse como cueros curtidos, aquellos productos en cuya fabricación la estructura original de la piel se descompone en fibras, polvos u otros fragmentos por medio de procesos químicos o mecánicos y luego se procede a la reconstitución de esos fragmentos en láminas u otras formas.</t>
  </si>
  <si>
    <t>curtido a la grasa</t>
  </si>
  <si>
    <t>Curtido obtenido por incorporación a la piel de grasas blandas de origen animal, las cuales al experimentar modificaciones químicas en contacto con las fibras, producen la fijación de materias grasas.</t>
  </si>
  <si>
    <t>curtido a la sílice</t>
  </si>
  <si>
    <t>Pieles o cueros curtidos con compuestos silíceos, que se caracterizan por su color blanco y la plenitud de la curtición. Normalmente tienen escasa resistencia a la tracción y al desgarre.</t>
  </si>
  <si>
    <t>curtido al alumbre</t>
  </si>
  <si>
    <t>Curtido obtenido mediante el uso de una mezcla cuyo principal ingrediente activo es una sal de aluminio. El color natural del curtido, es blanco.</t>
  </si>
  <si>
    <t>curtido al azufre</t>
  </si>
  <si>
    <t>Curtido obtenido incorporando azufre y sus compuestos a la piel, por tratamiento ácido y tio-sulfato de sodio.</t>
  </si>
  <si>
    <t>curtido al cromo</t>
  </si>
  <si>
    <t>Piel o cuero curtido exclusivamente con sales de cromo o con éstas conjuntamente con pequeñas cantidades de otro curtiente, usado para coadyuvar al proceso de curtición al cromo y no en cantidad suficiente para alterar el carácter esencial de la curtición al cromo.</t>
  </si>
  <si>
    <t>curtido combinado</t>
  </si>
  <si>
    <t>Piel o cuero curtido con dos o más agentes curtientes.</t>
  </si>
  <si>
    <t>curtido mineral</t>
  </si>
  <si>
    <t>Piel o cuero que ha sido curtido con sales minerales, tales como las de aluminio, hierro, cromo y zirconio.</t>
  </si>
  <si>
    <t>curtido mixto</t>
  </si>
  <si>
    <t>Véase Curtido Combinado.</t>
  </si>
  <si>
    <t>curtido vegetal</t>
  </si>
  <si>
    <t>Curtidos obtenidos exclusivamente con agentes curtientes vegetales o bien con éstos adicionados de pequeñas cantidades de otros agentes curtientes, usados solamente para coadyuvar al proceso de curtición o para mejorar el curtido, pero no en cantidad suficiente para alterar el carácter esencial de la curtición vegetal.</t>
  </si>
  <si>
    <t>curtiod al aldehído</t>
  </si>
  <si>
    <t>Curtidos obtenidos tratando descames de pieles ovinas o pieles ovinas desfloradas, con aldehídos.</t>
  </si>
  <si>
    <t>delantero</t>
  </si>
  <si>
    <t>La parte delantera de un cuero vacuno o equino. Cuando se refiere a un cuero vacuno, consiste en el cuello y las garras delanteras. Cuando se refiere a un cuero equino, consiste en la parte delantera del cuero hasta unos dos tercios del mismo.</t>
  </si>
  <si>
    <t>descarne</t>
  </si>
  <si>
    <t>La capa inferior de una piel o un cuero, separada mediante la máquina de dividir. En cueros muy gruesos, puede obtenerse también un descarne 
intermedio.</t>
  </si>
  <si>
    <t>La capa inferior de una piel o un cuero, separada mediante la máquina de dividir. En cueros muy gruesos, puede obtenerse también un descarne intermedio.</t>
  </si>
  <si>
    <t>desencalado</t>
  </si>
  <si>
    <t>En este proceso se remueve la cal y el sulfuro de la piel y además elimina el hinchamiento alcalino de la piel. Se realiza para evitar posibles interferencias en las etapas posteriores del curtido. Durante el desencalado, las pieles se lavan con abundante agua y neutralizantes (ácido sulfúrico, hidroclórico, láctico, fórmico, bórico o mezclas de ácidos o sales acídicas). Cuando los ácidos derivados del sulfuro se emplean en el desencalado, es necesario el pretratamiento con peróxido de hidrógeno o bisulfato de sodio para oxidar el sulfuro en el ácido y prevenir la formación de sulfato de hidrógeno. El cloruro de amonio, sulfato de amonio y dióxido de carbono también pueden emplearse en el desencalado.</t>
  </si>
  <si>
    <t>desfaldado (cuero)</t>
  </si>
  <si>
    <t>La parte principal del cuero, obtenida cortando las dos faldas.</t>
  </si>
  <si>
    <t>desflorado</t>
  </si>
  <si>
    <t xml:space="preserve">Cuero curtido del cual se ha eliminado la parte superior de la flor por medio de operaciones mecánicas. </t>
  </si>
  <si>
    <t>desflorado del cuero</t>
  </si>
  <si>
    <t>Cuero curtido del cual se ha eliminado la parte superior de la flor por medio de operaciones mecánicas. Es común creer que con esta operación se eliminan los daños del cuero, pero no es así, sólo disimulamos los mismos cuando son superficiales. Para eliminar las lesiones profundas, habría que raspar tanto que transformaríamos el cuero en un descarne. La profundidad máxima que podemos desflorar estará dada por el límite inferior de la boca del poro. Podemos decir entonces, que la finalidad del desflorado es disimular pequeños daños de flor y mejorar el aspecto de esta, convirtiendo los poros grandes en poros finos y parejos. Si desfloramos por debajo del límite indicado se corre el riesgo, por ejemplo, que cuando se arme el calzado el cuero tome aspecto de descarne en las partes de mayor estiramiento, como ser la puntera del calzado.Para lograr un desflorado uniforme, necesitamos un cuero con espesor uniforme y superficie lisa.Es útil antes de desflorar, esmerilar los cueros del lado de la carne, cepillar para eliminar el polvillo, dar un apresto del lado de la carne y planchar para obtener una superficie más lisa y a la vez ayudar a cerrar las fibras y luego sí proceder a desflorar.Es conveniente cuando se desflora fuertemente, utilizar dos tipos de papeles: uno medio fino (240) y otro fino (340). Las rayas introducidas por la utilización de un papel grueso son muy difíciles de eliminar o disimular con el acabado.En la actualidad existen máquinas de desflorar continuas, las que además de mayor productividad, tienen la ventaja que permiten desflorar de una sola pasada todo el cuero. En máquinas angostas hay que pasar 2 o 3 veces, por lo que suelen quedar marcas de las pasadas anteriores.En las mayoría de los casos, por tener los flancos más finos y la cabeza cerrada y con arrugas se rectifican un desflorado 600 cabeza y flanco y luego todo el cuero por la continua.Posteriormente al desflorado es muy importante eliminar el polvillo (con cepilladora o máquina neumática de desempolvar) producido, el cual se fija al cuero por carga de estática y esto dificulta su eliminación.</t>
  </si>
  <si>
    <t>disolventes</t>
  </si>
  <si>
    <t>Englobamos en este punto a disolventes y diluyentes. La gran utilidad de estos productos está en la aplicación de las lacas.</t>
  </si>
  <si>
    <t>dividido (piel o cuero)</t>
  </si>
  <si>
    <t>La capa externa o del lado del pelo o la lana, de un cuero o de una piel que ha sido dividida en dos o más capas, mediante la máquina de dividir.</t>
  </si>
  <si>
    <t>doset</t>
  </si>
  <si>
    <t>Véase Desfaldado</t>
  </si>
  <si>
    <t>eflorescencia grasa o migración</t>
  </si>
  <si>
    <t>Cualquier exudación de material que una vez estuvo en el cuero para más tarde ser expulsado a la superficie, por medios físicos o químicos.</t>
  </si>
  <si>
    <t>empaquetadora</t>
  </si>
  <si>
    <t>Un curtido resistente, flexible, engrasado por el lado flor, fabricado con cueros vacunos, de espesor entre 4 y 6 mm.</t>
  </si>
  <si>
    <t>empeine color natural (cuero para)</t>
  </si>
  <si>
    <t>Curtido vegetal. para empeine elaborado con cueros bovinos, resistente, engrasado, sin teñir ni pigmentar, con acabado abrillantado por la cara de la flor o de la carne.</t>
  </si>
  <si>
    <t>encalado</t>
  </si>
  <si>
    <t>Permite la eliminación del pelo o la lana. Tradicionalmente se usaba únicamente la cal, pero la adición de sulfuro sódico mejora y acelera esta etapa.</t>
  </si>
  <si>
    <t>engrasado (piel o cuero)</t>
  </si>
  <si>
    <t>Curtido, corrientemente vegetal, al cual se le han incorporado en las operaciones de acabado, cantidades apropiadas de aceites y grasas para conferirles flexibilidad y aumento de resistencia a la tracción y al agua.</t>
  </si>
  <si>
    <t>engrasado por inmersión</t>
  </si>
  <si>
    <t>Término utilizado en las operaciones de engrasado, para describir una piel o un cuero curtido que ha sido impregnado por inmersión en grasa fundida.</t>
  </si>
  <si>
    <t>entero</t>
  </si>
  <si>
    <t>Término que indica un curtido elaborado a partir de pieles o cueros en bruto, sin dividir ni rebajar, es decir con todo su espesor, por ejemplo una piel ovina entera.</t>
  </si>
  <si>
    <t>entresuelas (cuero para)</t>
  </si>
  <si>
    <t>Cuero curtido, incluso descarnes, de curtición vegetal o combinada, en hojas, crupones, cuellos y faldas, flexible, apropiado para entresuelas de calzado.</t>
  </si>
  <si>
    <t>envejecido</t>
  </si>
  <si>
    <t>Tipo de acabado de cuero con aspecto o look viejo.</t>
  </si>
  <si>
    <t>escurrido</t>
  </si>
  <si>
    <t>Operación mecánica que quita gran parte de la humedad del "wet blue". Se elimina la mayor parte del agua entre las fibras del cuero y también las sales,porque si el cuero se secara al sol se evaporaría el agua, pero las sales quedarían y después podrían generar efluorescencias salinas.</t>
  </si>
  <si>
    <t>espejo</t>
  </si>
  <si>
    <t>Dos áreas cartilaginosas, ovaladas, de unos 0,25 m2, situadas a derecha e izquierda del espinazo de un ancón.El espejo se caracteriza por una estructura de fibras consistente y sólida y produce acabados de alta calidad. El curtido obtenido de esta parte de un cuero equino, se llama Cordobán o Anca de Potro.</t>
  </si>
  <si>
    <t>espesantes</t>
  </si>
  <si>
    <t>Hay terminaciones cuyos ligantes no se espesan con amoníaco o no es conveniente espesarlo con amoníaco y entonces hay que usar estos productos.</t>
  </si>
  <si>
    <t>falda</t>
  </si>
  <si>
    <t>La parte del cuero que recubre el vientre y la parte superior de las patas del animal.</t>
  </si>
  <si>
    <t>felpa manual</t>
  </si>
  <si>
    <t>Esta compuesta por una madera recubierta con material textil aterciopelado y blando. En el medio de ambos y como relleno puede tener espuma de goma. Con una felpa de este tipo, el acabado puede ser esparcido en forma mas lisa, aumentando también su rendimiento, lo que es muy apropiado para cueros desflorados. Para los cueros plena flor, es conveniente emplear sin relleno de espuma de goma, ya que se requiere mayor acción mecánica. Respecto de la mesa donde se aplica la felpa, debe ser de una superficie completamente lisa, puesto que de lo contrario las imperfecciones se transferirán al cuero y este quedara marcado.</t>
  </si>
  <si>
    <t>felpa mecánica</t>
  </si>
  <si>
    <t>Mecanismo mediante el cual el cuero pasa por una banda de goma continua, la cual se combina con un secadero continuo. Estos equipos generalmente tienen dos brazos movidos por una biela, la que le transfiere a las felpas movimientos convergentes, divergentes o laterales. Existe otro sistema, que combina dos cilindros uno de cerda y otro de felpa, los que tienen movimiento giratorio y vibratorio para mejor esparcido de la preparación de acabado. En la parte inferior de la masa de pintado y completando el mecanismo continuo de tracción de la banda de goma, existe un deposito destinado al lavado de esta superficie mediante la acción de cepillos. La humedad que por este motivo mantiene esta banda, es importante porque cumple la función de dar mayor adherencia al cuero sobre la misma, de manera de evitar que el trabajo mecánico de la felpa produzca arrugas al mover al cuero. La alimentación de preparado de acabado sobre el cuero se realiza mediante picos dosificadores.</t>
  </si>
  <si>
    <t>flexible (cuero)</t>
  </si>
  <si>
    <t>Cuero para suela de calzado, muy suave, especialmente adecuado para pegado o cosido.</t>
  </si>
  <si>
    <t>flor</t>
  </si>
  <si>
    <t>Parte principal de la piel una vez es dividida, esta por un lado tiene una cara lisa y al por el otro carnaza o carne. Esta es la cara del cuero en donde se aplica el acabado.</t>
  </si>
  <si>
    <t>flor corregida</t>
  </si>
  <si>
    <t>Parte principal de la piel a la cual se le corrigen algunas marcas en superficie a través del lijado o pulido.</t>
  </si>
  <si>
    <t>Piel o cuero cuya superficie de flor ha sido parcialmente eliminada por desflorado.</t>
  </si>
  <si>
    <t>flor crispada</t>
  </si>
  <si>
    <t>Piel o cuero curtidos de tal forma, que se produce un encogimiento de la capa flor, obteniéndose una superficie de la flor con pliegues y ranuras desiguales.</t>
  </si>
  <si>
    <t>flor grabada</t>
  </si>
  <si>
    <t>Véase crispado</t>
  </si>
  <si>
    <t>flor graneada</t>
  </si>
  <si>
    <t>(Rugosa o corchada): Piel o cuero curtido, acabado con una flor de grano pequeño, desarrollado de un modo natural mediante graneado.</t>
  </si>
  <si>
    <t>foca (piel)</t>
  </si>
  <si>
    <t>Curtido de piel de foca, con su aspecto característico de grano pequeño, acentuado por un graneado a mano.</t>
  </si>
  <si>
    <t>fondos de calzado (cueros para)</t>
  </si>
  <si>
    <t>Término genérico que cubre todos los tipos de curtidos que se usan para fondos de calzados. Pueden indicarse los siguientes tipos: cueros para viras; cueros para suelas; cueros para entresuelas; cueros para media suela; plantillas; descarnes.</t>
  </si>
  <si>
    <t>gamuza</t>
  </si>
  <si>
    <t>Cuero afelpado elaborado con piel de ciervo o gamo de la cual se ha eliminado la capa de flor, generalmente por raspado.</t>
  </si>
  <si>
    <t>gamuza (gamuzado)</t>
  </si>
  <si>
    <t>Curtido fabricado a partir de cueros bovinos de los que se ha eliminado totalmente la flor y que han sido curtidos al aceite, obteniéndose un cuero flexible, que tiene una superficie color crema o blanca, acabada en forma de felpa.</t>
  </si>
  <si>
    <t>GAMUZA (Para limpieza)</t>
  </si>
  <si>
    <t>Piel afelpada elaborada a partir de descarnes de piel ovina o a partir de pieles ovinas, cuya flor ha sido separada mediante raspado, curtida por un proceso que involucra la oxidación en la piel de aceites de pescado o de animales marinos, usando ya sea estos aceites solos (curtición pura al aceite), o bien por curtición combinada. Se conoce también como "chamois".</t>
  </si>
  <si>
    <t>glacé</t>
  </si>
  <si>
    <t>Una piel preparada normalmente por tratamiento con una mezcla de alumbre potásico, sal común, harina y yema de huevos y teñida a cepillo por el lado flor.</t>
  </si>
  <si>
    <t>grabado</t>
  </si>
  <si>
    <t>Piel o cuero en el que se ha grabado con una placa en la prensa, ya sea con una muestra que imita la flor de alguna piel o bien un dibujo diferente a la muestra natural de la piel.</t>
  </si>
  <si>
    <t>grabado (piel o cuero)</t>
  </si>
  <si>
    <t>Piel o cuero en el que se ha grabado ya sea una muestra que imita la flor de alguna piel o bien un dibujo diferente a la muestra natural de la piel.</t>
  </si>
  <si>
    <t>graneado (piel o cuero)</t>
  </si>
  <si>
    <t>Cuero curtido que ha sido ablandado y cuya superficie ha sido ligeramente crispada, plegando la flor adentro y desplazando el pliegue transversalmente en movimiento de vaivén, mediante un graneado a mano con la palmilla o a máquina. Véase Box-Calf.</t>
  </si>
  <si>
    <t>guantería lavable</t>
  </si>
  <si>
    <t>Término aplicable a pieles de guantería lavables, normalmente de color blanco. Véase Curtido al aldehído.</t>
  </si>
  <si>
    <t>guarniciones de carda (cuero para)</t>
  </si>
  <si>
    <t>Crupón curtido al vegetal, ligeramente engrasado y notablemente flexible, usado para sostener los conductores de acero que forman la periferia de los cilindros de las máquinas de cardar, en la industria lanera.</t>
  </si>
  <si>
    <t>hidrofugantes</t>
  </si>
  <si>
    <t>Son productos que aumentan la repelencia al agua de la superficie del cuero sin reducir la permeabilidad al vapor de agua. Los hidrofugantes más utilizados en la Industria de la Piel son: siliconas, ceras y grasas crudas, complejos metálicos de ácidos grasos de cadena larga, ácidos alquenil-suecinícos y derivados fluorados.</t>
  </si>
  <si>
    <t>hidrolacas</t>
  </si>
  <si>
    <t>Son lacas que fueron emulsionadas en agua. La formación de película tiene lugar cuando se evapora el agua. Estas se pueden aplicar en las capas finales o bien antes de dar la laca nitro. En este caso se logra una mejor adherencia de estas lacas en la capa de acabado y se obtiene un brillo lleno y uniforme.</t>
  </si>
  <si>
    <t>hoja</t>
  </si>
  <si>
    <t>Media piel, de 1 vaqueta que se parte en la mitad se obtienen 2 hojas.</t>
  </si>
  <si>
    <t>La mitad de todo un cuero con sus rebordes, incluyendo testuz, cuello y flancos, obtenida dividiéndola a lo largo de la línea del espinazo.</t>
  </si>
  <si>
    <t>humectación</t>
  </si>
  <si>
    <t>La humectación puede realizarse por varios métodos:Con aserrín húmedo (36-38 % de humedad)Sumergir los cueros en agua durante algunos segundos, se van formando pilas que se deben tapar y reposar un determinado tiempo.Con máquina de humectarSoplete pulverizando agua.Si después del primer secado el cuero contiene menos del 10% de humedad (caso pasting) es muy difícil lograr la humectación directa en forma uniforme. En este caso se aconseja dejar los cueros apilados hasta que alcancen esa humedad (Sala humidificadora) y luego recién efectuar la humectación.</t>
  </si>
  <si>
    <t>imitación cuero antiguo</t>
  </si>
  <si>
    <t>Piel o cuero curtido, cuya superficie lleva un grabado de arrugas o pliegues, a cuyas cavidades se da un color contrastado para provocar un efecto de dos tonos o dos colores. Los pliegues se obtienen por grabado, graneado u otros medios similares.</t>
  </si>
  <si>
    <t>impermeable (piel o cuero)</t>
  </si>
  <si>
    <t>Piel o cuero totalmente impermeable al agua, comúnmente curtido al cromo o de curtición combinada, originalmente muy engrasado. También pueden usarse otros agentes impermeabilizantes.</t>
  </si>
  <si>
    <t>impregnación o prefondo</t>
  </si>
  <si>
    <t>Consiste en introducir una resina dentro de la piel. La finalidad es que la capa más superficial de la flor se pegue a las capas del córium para que las pieles no presenten soltura de flor. Esta operación sirve además para reducir la absorción del cuero, mejorar su capacidad al montado y aumentar la resistencia al arañazo. La impregnación se aplica principalmente a las pieles tipo flor corregida y a los serrajes.Los principales componentes de una solución para la impregnación son las resinas y los llamados penetradores, que acostumbran a ser productos tenso-activos o disolventes polares.La impregnación puede realizarse con soluciones en medio acuoso o en medio disolvente orgánico. La composición en medio acuoso está formada por resinas y productos auxiliares como humectantes, disolventes solubles en agua, penetradores que son mezclas de disolventes y tenso-activos y agentes engrasantes.El sistema más frecuente empleado es el acuoso. Los productos en medio acuoso son de manipulación más simple, las máquinas y las tuberías son fáciles de lavar y no se producen vapores tóxicos o inflamables.La impregnación en medio disolvente orgánico en general es a base de poliuretanos. Los defectos principales de este sistema es la posible migración de la grasa de la piel y la inflamabilidad de los disolventes que pueden producir incendios.En una impregnación en medio acuoso se imponen tres recomendaciones: que la dispersión de impregnación moje el cuero, que penetre rápidamente evitando que ocurra la coalescencia antes de haber logrado una penetración suficiente y por último que penetre lo suficiente para que se produzca la soldadura entre la capa reticular y la capa de flor.</t>
  </si>
  <si>
    <t>impregnado (piel o cuero)</t>
  </si>
  <si>
    <t>Piel o cuero que mediante la adición de materiales tales como grasa, parafina, cera y/o resinas impregnadoras, etc., ha sido mejorado en relación a sus propiedades físicas, sin que por esto pierda las características originales.</t>
  </si>
  <si>
    <t>jaboncillo</t>
  </si>
  <si>
    <t>productos</t>
  </si>
  <si>
    <t>Es una glicerina que protege a la textura y al color del cuero. No deja ningún tipo de manchas ni tiñe la ropa de jinetes ni amazonas. Puede usarse de manera diaria sobre la misma montura o cabezada después de montar.</t>
  </si>
  <si>
    <t>laca</t>
  </si>
  <si>
    <t>Producto que forma una película más o menos dura, más o menos brillante y con buena resistencia al frote. Le da la protección final al cuero contra el rayado, el desgaste y la abrasión. Este tipo de producto sólo se puede adherir sobre cueros que tienen un fondo ya aplicado. La laca le da el brillo final.</t>
  </si>
  <si>
    <t>lacas</t>
  </si>
  <si>
    <t>Las lacas son productos que forman películas más o menos duras, más o menos brillantes y con buena resistencia al frote. Se le da la protección final al cuero, contra el rayado, el desgaste y la abrasión. Este tipo de producto sólo se puede adherir sobre cueros que tienen un fondo ya aplicado. La laca le da el brillo final.Lacas Pigmentadas: Son moliendas de pigmentos incorporadas a la nitro o acetoburitato, donde estos actúan como si fueran ligantes. Se emplean en la etapa final del acabado para emparejar el color. Mezcladas con anilinas de complejo metálico 1:2, se logran efectos semi-anilinas de aspectos agradables. Este procedimiento tiene la ventaja respecto del uso de la anilina nitro (sin pigmentar) que obtendremos en toda la superficie del cuero.Lacas Poliuretanos: Dentro de esta familia se distinguen las de un solo componente no reactivo y las de dos componentes reactivos.Las lacas de un solo componente parten de productos que ya han reaccionado químicamente. Cuando se aplica sobre el cuero, al evaporarse el solvente no se produce ninguna reticulación por medio de enlaces químicos sino que la película se forma por medio de grupos polares y a través de puentes de hidrógeno. La mayor o menor elasticidad de la laca depende del tipo de poliol y de izo cianato empleados en su elaboración. Estas lacas de un solo componente pueden aplicarse mezcladas con lacas nitrocélulosicas lográndose de esta combinación acabados con mayor solidez y tacto más agradable. Las lacas de dos componentes reactivos se elaboran partiendo de pre-polímeros que contienen grupos de hidroxilos libres y de un segundo componente de endurecedores que contienen grupos izo cianatos. Ambos productos se mezclan antes de aplicarse de manera que la reacción que produce sobre la superficie del cuero es de elevada solidez. Este sistema es utilizado en la fabricación de charol, tapicería, marroquinería, etc., donde se requiere gran solidez y fácil limpieza.Lacas Vinílicas: Este tipo de laca proporciona películas de muy baja absorción de agua, buena adhesión y excelente resistencia al frote y a los solventes comunes y por estas cualidades se emplea en terminaciones para tapicería.</t>
  </si>
  <si>
    <t>lavable (piel o cuero)</t>
  </si>
  <si>
    <t>Piel o cuero acabado que puede limpiarse mediante un lavado normal, manteniendo un grado aceptable de solidez, de color, flexibilidad, etc.</t>
  </si>
  <si>
    <t>ligante</t>
  </si>
  <si>
    <t>Producto que pega o aglutina los pigmentos a la superficie del cuero, formando una película o film de acabado.Si no tenemos algo que adhiera los productos de terminación al cuero, no hay forma de mantener la terminación en forma durable sobre el cuero. Los ligantes son capaces de englobar en su estructura una serie de productos sin modificar demasiado las propiedades.Los principales ligantes son:A base de proteínas. Contienen caseína como producto filmógeno. La caseína no es soluble en agua, pero si lo es en álcalis. Los álcalis mas comunes son: amoniaco, bórax, aminas. Mediante una modificación química de la molécula de la caseína, es posible solubilizarse en medio débilmente ácido. Esto se obtiene por esterificación de la caseína. Esta caseína ácida proporciona al cuero un brillo uniforme y un buen cierre de flor. Para poder utilizar.A base de resinasA base de NitrocelulosaA base de aceitesA base de poliuretanosLos ligantes son productos que dan poco relleno, dan dureza, elevada solidez al agua y tienen como desventaja la poca elasticidad.Generalmente se usan varios ligantes, ya que es muy difícil que un solo ligante nos de todas las características requeridas.En la actual tecnología del acabado del cuero tienen especial importancia los ligantes de tipo proteínico y los conocidos como resinas. Estos últimos son derivados del ácido acrílico, vinilo, estireno y butadieno, que se caracterizan por que tienen uno o más grupos vinilo en su molécula que facilitan su polimerización y que se aplican sobre la piel en forma de dispersiones ya polimerizadas.</t>
  </si>
  <si>
    <t>lobo</t>
  </si>
  <si>
    <t>Curtido obtenido de la piel del lobo marino, procedente de la costa este de la República Oriental del Uruguay.</t>
  </si>
  <si>
    <t>longa</t>
  </si>
  <si>
    <t>Piel ovina, de cabra, ternera o asno, sin dividir, encalada y secada sin aplicar ninguna clase de curtiente, raspada o desflorada hasta dejarla lisa. Véase Pergamino para Tambores.</t>
  </si>
  <si>
    <t>máquina de cortina</t>
  </si>
  <si>
    <t>El principio de este sistema se basa en una cortina de productos de acabado que cae perpendicularmente sobre el cuero a medida que este se desplaza horizontalmente sobre una cinta transportadora. La cortina se forma a partir de un cabezal alimentado por una bomba de velocidad variable. Este cabezal puede ser de dos tipos: de labios o de cascada. El primero está formado por un recipiente con forma de caja, el que tiene en su base una abertura en toda su extensión, la cual es regulable y a través de la cual cae el líquido en forma de cortina. El sistema de cascada está compuesto por un recipiente con un borde más bajo que el opuesto formándose la cortina por rebosamiento del líquido. La recuperación del producto que no quedó depositado sobre el cuero se produce por medio de una canaleta colectora colocada debajo de la cortina, cayendo a esta debido a que la masa transportadora está separada para permitir dicha recuperación. La parte superior de dicha canaleta está formada por una serie de peines colocados a nivel de la cinta transportadora para no entorpecer el paso del cuero. El producto así recuperado cae al recipiente de alimentación del cabezal produciéndose la recirculación mediante la bomba mencionada. La regulación de la cortina de la mezcla de terminación se realiza combinando la velocidad de paso del cuero con la abertura de los labios o la presión de la bomba según sea el tipo de máquina empleada y todo esto en relación con el tipo de cuero buscado. Como punto de referencia podemos tomar la cantidad máxima que puede absorber el cuero al pintar. Para obtener una buena terminación es importante que la cortina fluya en forma regular e interrumpidamente. Respecto de los ligantes poliméricos que se empleen, estos deben tener buena resistencia a la acción mecánica para mantener su estabilidad ante el movimiento a que es sometido por la bomba de alimentación y además deben ser de baja capacidad para formación de espuma y es aquí donde se hace importante la elección de los penetrantes. Si empleamos penetrantes que faciliten la formación de espuma y compensamos con el uso de antiespumantes, afectaremos la estabilidad de la cortina, pero la utilización de caseína brinda es una solución a esto.</t>
  </si>
  <si>
    <t>máquina de imprimir</t>
  </si>
  <si>
    <t>Consta de dos rodillos que giran al encuentro. El cilindro superior es el que transfiere la pintura y el dibujo contenido en su superficie. Este cilindro es cargado con el producto a aplicar por medio de una cuchilla alimentada por una bomba. Es además intercambiable lo que permite variar el dibujo a transferir. La cantidad de carga de producto sobre el cuero se regula por la profundidad del dibujo sobre la superficie del cilindro. El cilindro de abajo sirve como propulsor de transporte y la mayoría de las veces consta de un sistema de banda más complejo. Para obtener buenos resultados con este tipo de máquina es fundamental la uniformidad del espesor del cuero. Cueros de espesor desparejo quedarán con zonas sin cubrir o insuficientemente cubiertas que son aquellas donde el espesor es menor a la distancia entre los rodillos. Para compensar pequeñas diferencias es conveniente regular la abertura de paso entre cilindros dándoles algunas décimas menos que el espesor esperado del cuero a imprimir. La preparación del acabado debe tener elevada viscosidad y muchos sólidos de aplicación debido a que la cantidad de producto que transfiere este procedimiento es muy poca. Si vamos a aplicar lacas, estas deben contener diluyentes de mayor punto de ebullición que los comunes, para evitar su evaporación en la superficie del rodillo, lo quede producirse traerá problemas de adhesión de las lacas con el acabado del cuero. Estas máquinas también son usadas para dar aprestos y teñidos del lado de la carne sin que se manche la flor del cuero. Los cilindros pueden girar en el mismo sentido (anti-horario), haciendo que el superior transmita una mayor cantidad de pintura por rozamiento a la inversa del transporte del de abajo. Si el giro es en sentido inverso (el superior en sentido horario y el inferior, de transporte, siempre en sentido anti-horario) se produce una transferencia por impresión; pudiendo lograr efectos tipo taponados, etc..</t>
  </si>
  <si>
    <t>máquina de lustrar</t>
  </si>
  <si>
    <t>El principio de este procedimiento es generar calor por frotamiento mediante el deslizamiento de un cilindro sobre la superficie del cuero. Este cilindro puede ser de cristal ágata o acero. Para lograr un buen acabado con este tipo de máquina debemos tener especial cuidado en la elección de los productos a emplear, como también en la puesta a punto de la misma. El cuero debe mantenerse firma en la cama ante el paso del cilindro, de lo contrario se formarán arrugas. En cuanto a las formulaciones de acabado, estas no deben ser termoplásticas ya que de serlo entorpecerán el paso del brazo lustrador con el riesgo de que este arranque la capa de acabado. Las ceras a emplear deben ser de alto punto de fusión, los plastificantes deben ser insumidos en forma moderada y no tienen que ser higroscópicos ya que la humedad perjudica el paso del cilindro. La cama donde se apoya el cuero debe tener una pequeña inclinación con respecto al plano del cilindro para que se produzca un esfumado que disimulará las distintas pasadas. Esta inclinación lateral tiene que ser mayor del lado donde se coloca el cuero y menor del lado de la salida de este.</t>
  </si>
  <si>
    <t>máquinas de pintar</t>
  </si>
  <si>
    <t>Son una adaptación del uso del soplete, manteniendo el principio del mismo. En estas máquinas el cuero es llevado sobre una banda transportadora formada por cables. Es importante que la distancia entre cables no sea mayor de 1 cm., puesto que si lo fuera, en el caso de cueros de poco espesor, la presión del soplado formaría ondulaciones al ceder el cuero en los espacios intercables, lo que provocaría la formación de franjas. Este defecto se acentúa en las aplicaciones de anilinas o pigmentos transparencias. Estos cables además deben ser de mono filamento para facilitar su limpieza con lo cual se evita el manchado del lado de la carne. El cuero así, transportado, para por un conjunto de pistolas que se mueven en forma transversal al avance de este. El movimiento de los sopletes cubre toda la superficie del transporte y puede ser realizado en forma circular o de vaivén. La velocidad del transporte del cuero está en relación con el número de sopletes con que esté equipada la máquina y con la velocidad con que se mueven estos. En todos los casos hay que tener especial cuidado con el hecho de que el aire generado en el compresor puede llevar pequeñas variaciones de aceite la cual producirá imperfecciones en el acabado. Para evitarlo se emplean filtros que periódicamente deben ser limpiados.</t>
  </si>
  <si>
    <t>marroquín</t>
  </si>
  <si>
    <t>Piel de cabra curtida al vegetal, con una muestra de grano característica, desarrollada de forma natural o por graneado a mano. El más común y más característico de los granos es el "chagrin".</t>
  </si>
  <si>
    <t>marroquinería</t>
  </si>
  <si>
    <t>Es el trabajo que se efectúa con el cuero fino, o a la piel. Con esta materia se producen bolsos, maletines, correas.</t>
  </si>
  <si>
    <t>mateantes</t>
  </si>
  <si>
    <t>También se conocen como productos que dan opacidad a la película del acabado. Son sustancias inertes, tipo sílice coloidal, micro-dispersadas, que al incorporarlas a la película de acabado disminuyen su brillo y transparencia , dando un cierto efecto de cobertura y reduciendo la pegajosidad del acabado. Tienden a aglomerarse en partículas, sobre todo cerca de la superficie. Tienen índice de refracción elevado.</t>
  </si>
  <si>
    <t>medianas (cuero para suelas)</t>
  </si>
  <si>
    <t>Cuero para fondos de calzados, producido con crupones, cuellos o faldas de cueros vacunos y utilizado en la fabricación de calzado,- montado entre las suelas interior y exterior. Las suelas medianas o entresuelas, se utilizan principalmente en la fabricación de botas. Véase Entresuelas.</t>
  </si>
  <si>
    <t>medio crupón</t>
  </si>
  <si>
    <t>La mitad de un crupón de un cuero bovino, obtenido dividiéndolo a lo largo de la línea del espinazo.
MEDIO CRUPÓN AL CROMO, SECO: Medio crupón curtido al cromo, flexible, para suelas de calzado, que no ha sido impregnado con cera, grasa o agentes similares; se utiliza principalmente en calzado deportivo.
MEDIO CRUPÓN FLEXIBLE: Medio crupón para suelas, curtido y acabado de forma que sea suave y flexible, algunas veces esmerilado por ambos lados de la flor y de la carne.
MEDIO CRUPÓN IGUALADO: Medio crupón curtido para suelas, que ha sido dividido o aserrado para darle un espesor uniforme en toda el área del medio crupón acabado. Es más flexible que el medio crupón para fabricación de calzado.
MEDIO CRUPÓN IMPREGNADO: Medio crupón curtido para suelas que ha sido sumergido en cera, una grasa dura o un agente similar, para darle mayor impermeabilidad; puede ser curtido al cromo o al vegetal.
MEDIO CRUPÓN PARA FABRICACIÓN DE CALZADO: Medio crupón curtido para suelas, producido para la fabricación de calzado nuevo. Normalmente es menos grueso y más flexible que un medio crupón utilizado en la reparación de calzado.
MEDIO CRUPÓN PARA REPARACIÓN DE CALZADO: Medio crupón curtido para suelas, producido para la reparación de calzado. Puede ser curtido al vegetal y cilindrado o curtido al cromo e impregnado con cera u otros materiales, para hacerlo impermeable.
MEDIO CRUPÓN PARA SUELAS: Medio crupón de cuero vacuno, curtido y acabado para suelas de calzado. Véase Medio Crupón.</t>
  </si>
  <si>
    <t>medio doset</t>
  </si>
  <si>
    <t>La parte que queda de medio cuero vacuno o de la hoja del mismo, después de eliminar la falda. Corresponde en área a un medio crupón con la mitad del cuello, con o sin carilla.</t>
  </si>
  <si>
    <t>mejilla</t>
  </si>
  <si>
    <t>Véase Carilla</t>
  </si>
  <si>
    <t>mestizo</t>
  </si>
  <si>
    <t>Véase Bastardo</t>
  </si>
  <si>
    <t>metalizado (piel o cuero)</t>
  </si>
  <si>
    <t>Curtidos a los que se ha dado un acabado brillante, parecido al de la piel o cuero nacarado, obtenido mediante la adición de sustancias metálicas pulverizadas en el acabado. El aditivo normal es aluminio pulverizado, pudiendo lograrse tonos diversos mediante la incorporación de colorantes.</t>
  </si>
  <si>
    <t>modificadores de tacto</t>
  </si>
  <si>
    <t>Productos como siliconas, jabones y ceras que empleados en la etapa final de la terminación, modifican toque de película. Mediante estos o su combinación se logran tactos grasos, sedosos o cerosos.</t>
  </si>
  <si>
    <t>moldeado (cuero para)</t>
  </si>
  <si>
    <t>Curtido flexible que puede ser entregado en pasta o impregnado con cera, destinado a ser moldeado.</t>
  </si>
  <si>
    <t>morsa (piel de)</t>
  </si>
  <si>
    <t>Piel de morsa curtida al vegetal, sin dividir, utilizada generalmente para cilindros de pulido.</t>
  </si>
  <si>
    <t>nacarado (piel o cuero)</t>
  </si>
  <si>
    <t>Piel o cuero acabado con un brillo especial, mediante adición de polvos de nácar natural o sintético.</t>
  </si>
  <si>
    <t>napa</t>
  </si>
  <si>
    <t>El cuero napa o piel de napa “nappa”, es un cuero fino, liso, suave y flexible, que se curte al cromo. Antiguamente era de cordero y oveja, en la actualidad se emplea ese término, piel de napa o cuero anapado, para referirnos a cualquier tipo de cuero liso, suave y flexible procedente de cualquier animal.</t>
  </si>
  <si>
    <t>Piel bovina dividida o piel ovina o caprina sin dividir, suave y elástica, generalmente de plena flor, utilizada para guantería o confecciones. Curtida al cromo o combinada y teñida a penetración completa.</t>
  </si>
  <si>
    <t>napalán</t>
  </si>
  <si>
    <t>Cuero ovino curtido con su lana, la que ha sido rasada, pintado por el lado carne para ser utilizado en la industria de la vestimenta con su lado carne terminado hacia afuera. Es un tipo de acabado doble faz.</t>
  </si>
  <si>
    <t>natural (cuero)</t>
  </si>
  <si>
    <t>Cuero vacuno curtido al vegetal, sin acabar, que ha sido acondicionado sin ninguna grasa.</t>
  </si>
  <si>
    <t>niveladores o extendedores</t>
  </si>
  <si>
    <t>Generalmente son emulsiones de fosfatos orgánicos. Su utilización en las soluciones preparadas para acabado permite mejor aplicación por medio de felpa disminuyendo la aparición de rayas o en el caso de aplicaciones a soplete se logra una mejor pulverización de la solución. En la máquina de cortina mejora la estabilidad de la misma y evita la formación de espuma.</t>
  </si>
  <si>
    <t>nobuc</t>
  </si>
  <si>
    <t>Cuero de curtición combinada, desflorado y afelpado por lado flor.</t>
  </si>
  <si>
    <t>nonato</t>
  </si>
  <si>
    <t>Cuero vacuno, proveniente de los fetos de vacas preñadas y faenadas poco antes de parir, cuya superficie no supera 1 metro cuadrado. Sus características son de una gran lisura y poros pequeños, con gran resistencia además de blandura (por tener un bajo espesor). Se usan fundamentalmente para zapatos de dama finos.</t>
  </si>
  <si>
    <t>ortopédico (cuero)</t>
  </si>
  <si>
    <t>Cuero curtido al vegetal, de forma que quede una capa intermedia, parcialmente curtida, utilizado en la producción de artículos ortopédicos.</t>
  </si>
  <si>
    <t>pasta (cuero)</t>
  </si>
  <si>
    <t>Cuero que después de la curtición no ha sido sometido a otros procesos ulteriores.</t>
  </si>
  <si>
    <t>pecarí</t>
  </si>
  <si>
    <t>Piel acabada por la flor, elaborada con piel de jabalí, utilizada generalmente para guantería.</t>
  </si>
  <si>
    <t>pelambre</t>
  </si>
  <si>
    <t>Proceso a través del cual se disuelve el pelo utilizando cal y sulfuro de sodio, produciéndose además, al interior del cuero, el desdoblamiento de fibras a fibrillas, que prepara el cuero para la posterior curtición. La cal se mezcla con sulfito de sodio para aflojar la lana y pelo, o disolver estos, produciendo un aflojamiento de la estructura fibrosa con el fin de preparar la piel para los procesos siguientes.</t>
  </si>
  <si>
    <t>pelusa</t>
  </si>
  <si>
    <t>Polvo residual del afelpado, que puede ser cepillado de algunas pieles afelpadas.</t>
  </si>
  <si>
    <t>penetradores</t>
  </si>
  <si>
    <t>Son productos que modifican la tensión superficial de las preparaciones de acabado y por consiguiente su mayor o menor absorción por parte de la piel. Se pueden emplear disolventes miscibles con el agua o bien productos tenso-activos. La adición de estos productos en formulaciones de acabado mejora su extensibilidad y la humectación. Se usan en cueros que tienen poca absorción, para aumentarla.</t>
  </si>
  <si>
    <t>pergamino</t>
  </si>
  <si>
    <t>Material translúcido u opaco, con una superficie lisa adecuado para escribir, encuadernar, etc. Se fabrica con pieles delgadas de ovino, cabra o asno, secando el material apelambrado, sin aplicar curtición alguna. El material se lava y desengrasa a fondo y se alisa durante el proceso.</t>
  </si>
  <si>
    <t>pergamino (para tambores)</t>
  </si>
  <si>
    <t>Piel ovina, de cabra, ternera o asno, sin dividir, encalada y secada sin aplicar ninguna clase de curtiente, raspada o desflorada hasta dejarla lisa.</t>
  </si>
  <si>
    <t>peso (del cuero)</t>
  </si>
  <si>
    <t>El peso de un cuero o piel depende de la estructura de las fibras de colágeno de la piel. Esta estructura está condicionada a su vez por una serie de factores, por ejemplo de tipo genético, la edad, el sexo, la alimentación y el medio ambiente. Con fines de información estadística se utilizan numerosos criterios relativos al peso. Sus razones numéricas respectivas dependen del tratamiento tecnológico al cual se sometan los cueros y pieles. Los principales criterios en cuanto al peso son los siguientes:
El "peso fresco" es el que se obtiene después del desuello y de eliminar la suciedad y el estiércol;
el "peso salado húmedo" es el obtenido después de tratar el cuero con sal o salmuera. Los cueros y pieles pierden una cantidad considerable de humedad en este proceso, por lo que los de vacuno "salados húmedos" pueden tener un 85-90 por ciento de peso del cuero fresco en climas templados y bajar hasta un 70 por ciento en climas tropicales. En el caso de las pieles de ternera, la proporción suele ser algo más elevada que para los cueros de vacuno adulto;
el "peso salado seco" es el obtenido después de tratar el cuero con sal y secarlo al aire. Representa del 55 al 60 por ciento del peso "fresco";
el "peso seco" es el obtenido después de secar los cueros y pieles sin salado previo. Representa alrededor del 35 por ciento del peso "fresco";
el "peso en salmuera" es el obtenido mediante el tratamiento, sobre todo de las pieles, con una solución de ácido sulfúrico y sal. Como se evapora más humedad de la que se añade, representa alrededor del 50 por ciento del peso "fresco".</t>
  </si>
  <si>
    <t>piel</t>
  </si>
  <si>
    <t>Término genérico que significa la cubierta exterior de un animal. También se denominan así, las pieles de peletería curtidas y acabadas con su pelo.</t>
  </si>
  <si>
    <t>piel de cerdo</t>
  </si>
  <si>
    <t>Más barata. Textura bastante gruesa y muy especial, las cerdas (pelos del animal) atraviesan su piel y dejan unos pequeños orificios muy visibles en el dorso. Otra característica es su resistencia y flexibilidad. Uso en marroquinería.</t>
  </si>
  <si>
    <t>piel de potro</t>
  </si>
  <si>
    <t>Piel muy lisa, larga, pero no muy ancha (menor calidad.) Este tipo de piel tiene muy buenas características para trabajar. Es una opción más económica que el vacuno, aunque de menor calidad.</t>
  </si>
  <si>
    <t>piel dorada o plateada</t>
  </si>
  <si>
    <t>Curtido revestido de una capa de oro, aluminio u otro metal, teñida con colorantes solubles en disolventes orgánicos. Producidas generalmente con pieles de cabra o cabrito o pieles ovinas.</t>
  </si>
  <si>
    <t>piel ovina acabada</t>
  </si>
  <si>
    <t>Pieles lanares curtidas y acabadas llevando una lana corta, elaboradas a partir de pieles ovinas esquiladas antes de ser sacrificadas.
También se aplica este término a las pieles lanares sin esquilar y con toda su lana. De acuerdo al largo de la lana, se denominan de un cuarto de lana, de media lana, de lana entera, etc.</t>
  </si>
  <si>
    <t>piel ovina esquilada para forros</t>
  </si>
  <si>
    <t>Piel ovina de lana corta curtida y acabada, utilizada para forros. Ver Piel ovina acabada.</t>
  </si>
  <si>
    <t>piel sintética de PVC</t>
  </si>
  <si>
    <t>pigmentado</t>
  </si>
  <si>
    <t>Véase Acabado con Pigmentos.</t>
  </si>
  <si>
    <t>pigmentos</t>
  </si>
  <si>
    <t>Son sustancias coloreadas, insolubles, en forma de polvo y que están dispersas en agua o solventes orgánicos. Hoy en día, el medio más habitual es dispersarlos en fase acuosa. Los pigmentos dispersados en solventes se usan generalmente para corregir tonos o colores de último momento, pero tienen un poder demasiado cubriente. Además por razones ecológicas, se está tratando de usar poco los solventes orgánicos pues traen problemas de contaminación en agua y aire.
Básicamente se pueden dividir en inorgánicos y orgánicos. Los pigmentos inorgánicos son básicamente óxidos metálicos y los orgánicos son derivados de ftalocianinas y sus sales. Son muy parecidos a los colorantes, con la diferencia de que son totalmente insolubles. El poder colorante en los inorgánicos es bastante bajo y el poder curtiente es a la inversa. Por aplicación de pigmentos orgánicos se logra un tipo de acabado mucho más transparente que en donde intervienen típicos representantes inorgánicos, como ser el blanco (dióxido de titanio) que es la base.
Prácticamente cualquier tipo de terminación incluye una mezcla de pigmentos. Es muy difícil sacar el color con un solo pigmento. Debido a las características de las pinturas, interviene casi siempre el negro, el blanco y otro color para dar el tono deseado. Los inorgánicos son mucho más pesados y es crítica la tendencia a sedimentar. Los orgánicos al ser de partícula menor, tienen una superficie mayor y por eso su alto poder colorante.
Los pigmentos más importantes que se usa, aparte del blanco, son el ocre y el pardo, que están basados en óxidos de hierro. Los rojos y burdeos tienen base beta-oxinaftoicos y los verdes y azules base ftalocianina.</t>
  </si>
  <si>
    <t>piquelado</t>
  </si>
  <si>
    <t>se usa ácido sulfúrico diluido y mezclado con sal. Esto permite conservar la piel. Este proceso lo reciben las pieles antes de ser exportadas a otros lugares.</t>
  </si>
  <si>
    <t>Condición en la que se encuentran los cueros luego del tratamiento con ácidos y sales neutras y en la cual pueden ser conservados temporalmente.</t>
  </si>
  <si>
    <t>plantilla de curtición vegetal-mixta</t>
  </si>
  <si>
    <t>Cuero para fondos de calzado producido mediante curtición combinada en fulón y piletas, de duración media. Utilizada principalmente en la reparación de calzado y también como primeras suelas en la fabricación de botas.</t>
  </si>
  <si>
    <t>plantillas (cuero para)</t>
  </si>
  <si>
    <t>Un tipo de cuero para fondos de calzado, más suave y flexible que el cuero para suelas.</t>
  </si>
  <si>
    <t>plantillas para cosido</t>
  </si>
  <si>
    <t>Cuero para fondos de calzado, flexible, particularmente adecuado para cosido.</t>
  </si>
  <si>
    <t>plastificantes</t>
  </si>
  <si>
    <t>Son productos que al incorporarlos a la película aumentan su flexibilidad. No deben volatilizarse, ni migrar; deben tener una buena solidez a la luz, no tener olor desagradable ni ser fuertemente coloreados. Sirven para dar plasticidad y al secar no quiebran.</t>
  </si>
  <si>
    <t>plena flor</t>
  </si>
  <si>
    <t>Curtido que lleva la superficie original de la flor, tal corno queda al descubierto después de eliminar la epidermis con el pelo incluido y sin haber eliminado la capa flor, por medio de desflorado, esmerilado o dividido.</t>
  </si>
  <si>
    <t>polipiel</t>
  </si>
  <si>
    <t>El poliéster, el poliuretano y el PVC son de las fibras sintéticas que componen principalmente a la polipiel, buscando imitar la apariencia del cuero. Es más barata y fácil de limpiar y se pueden encontrar muchos colores. Inicialmente se usó para tapicería, pero actualmente se usa en indumentaria, calzado y marroquinería.</t>
  </si>
  <si>
    <t>pre-curtido (piel o cuero)</t>
  </si>
  <si>
    <t>Piel o cuero que ha sido curtido ligeramente, pero que para ser acabado requiere una curtición ulterior, antes de ser acondicionado.</t>
  </si>
  <si>
    <t>protegido (piel o cuero)</t>
  </si>
  <si>
    <t>Curtido al que se han incorporado ciertos productos químicos especiales para que esté menos expuesto a deteriorarse por condiciones atmosféricas adversas. Tratamiento utilizado también para pieles destinadas a encuadernación y tapicería.</t>
  </si>
  <si>
    <t>purga</t>
  </si>
  <si>
    <t>Es un tratamiento con enzimas proteolíticas, como el caso de la tripsina para el aflojamiento de las fibras del colágeno, además de producir una limpieza de los poros de la piel. lo que se traduce en lisura de la misma, y le confiere mayor elasticidad.</t>
  </si>
  <si>
    <t>puro</t>
  </si>
  <si>
    <t>Término que antepuesto al nombre de un proceso de curtición o de teñido, indica que en la fabricación de la piel o del cuero correspondientes, solamente se ha empleado el proceso así designado; por ejemplo "puro cromo", "pura anilina", etc.</t>
  </si>
  <si>
    <t>rebajado</t>
  </si>
  <si>
    <t>Operación mecánica que iguala uniforme el espesor del cuero, mediante la máquina de cuchillas afiladas, que elimina las diferencias de espesor entre zonas 
y pieles, rebajándolas al grueso deseado, produciendo una viruta o polvo con el sobrante.</t>
  </si>
  <si>
    <t>Operación mecánica que torna uniforme el espesor del cuero.</t>
  </si>
  <si>
    <t>rebordes</t>
  </si>
  <si>
    <t>Las faldas, testuz y cuello del cuero vacuno en bruto, que resultan después de recortar el crupón.</t>
  </si>
  <si>
    <t>recurtido</t>
  </si>
  <si>
    <t>Pieles o cueros curtidos parcialmente, que han sido sometidos posteriormente a una curtición adicional, con materias curtientes similares o distintas a las de la primera curtíción.</t>
  </si>
  <si>
    <t>rellenantes</t>
  </si>
  <si>
    <t>Son productos de carga que se emplean en la formulación de las pinturas. Por lo general son a base de caolin, bentonita, anhídrido silícico y ceras, combinados para lograr efectos: igualación de superficies, mejoramiento de llenado, brillo, corrección de algunos defectos de flor.
Algunos de base inorgánica y otros de base orgánica, tienen un aspecto diferente y un poco contrario que los mateantes y tienden a depositarse en la capa más cercana al cuero, entonces no producen efectos de luz, producen un mejor relleno y queda la superficie más lisa.</t>
  </si>
  <si>
    <t>remojo</t>
  </si>
  <si>
    <t>Devuelve a la piel su estado original para su posterior manipulación. Es la rehidratación de pieles secas y la eliminación de la sal. Se utiliza sólo agua o añadiendo pequeñas cantidades de detergentes, álcalis, enzimas (que aceleran el proceso) y bactericidas para reducir la acumulación de bacterias.</t>
  </si>
  <si>
    <t>Es el proceso para rehidratar la piel, eliminar la sal y otros elementos como sangre, excremento y suciedad en general. Se trata las pieles con agua dentro de una tina, molineta o bombo. En este proceso se emplea hidróxido de sodio, sulfuro, hipoclorito, agentes de remojo, enzimas, etc.</t>
  </si>
  <si>
    <t>reticulantes</t>
  </si>
  <si>
    <t>Son auxiliares que se utilizan para mejorar las propiedades físicas de un acabado y actúan uniendo las diversas moléculas de acabado entre sí para mejorar la solidez al frote húmedo aunque al mismo tiempo empeoran las flexiones y la elasticidad.</t>
  </si>
  <si>
    <t>revés</t>
  </si>
  <si>
    <t>Lado carne o carnaza del cuero.</t>
  </si>
  <si>
    <t>ribera</t>
  </si>
  <si>
    <t>El objetivo de las operaciones de ribera es deshacerse de aquellas porciones que no son deseadas en el cuero acabado y darle a la piel condiciones físicas y químicas para el proceso siguiente. Para hacer un buen cuero, esto debe hacerse de tal manera que no se haga daño a la porción fibrosa que será transformada en cuero.</t>
  </si>
  <si>
    <t>rind-box</t>
  </si>
  <si>
    <t>Término que designa hojas de cuero curtidas al cromo, de plena flor, lisas o graneadas.</t>
  </si>
  <si>
    <t>salado del cuero</t>
  </si>
  <si>
    <t>El sistema más difundido para proteger la estructura de las pieles, en esta etapa, por eficacia y economía, es el salado. Consiste esencialmente en deshidratar la piel puesto que está formada por un 60-65 % de agua, medio en el cual la reproducción de las bacterias se facilita.
Por experiencia se determina la cantidad de sal (cloruro de sodio) que debe ponerse sobre la piel para obtener un buen salado o deshidratación de la misma. El tamaño adecuado del grano de sal, para el salado de las pieles oscila entre 1-3 mm.(milímetros).
El grano de sal no debe ser muy grueso puesto que ello puede dañar la piel, por ejemplo dejando marcas que ya no saldrán más. Por otro lado un grano demasiado grueso significa mayor tiempo de disolución, viéndose disminuida la concentración salina en las etapas iniciales del proceso, poniendo a riesgo el nivel de conservación requerido.
Si el grano es de diámetro muy pequeño, o muy fino, al ser el cloruro de sodio un producto higroscópico se forman terrones también de difícil disolución.
Si el cloruro de sodio está muy pulverizado, puede disolverse tan rápidamente que una cantidad importante de la misma sal, saldrá de la piel como salmuera, sin ser adecuadamente absorbida por esta.</t>
  </si>
  <si>
    <t>secado del cuero</t>
  </si>
  <si>
    <t>Una vez que las pieles han terminado su proceso de curtido y acabado en húmedo, es necesario reducir la cantidad de agua que tienen hasta un nivel tal que aparentemente estén secas. Lo cual se consigue a diferente contenido de humedad dependiendo de las condiciones de humedad y temperatura del lugar donde se encuentre.
Según la característica del cuero a obtener el sistema será Pasting, Vacío, Togling o natural.
El secado pasting es el más violento y cuanto más violento es el secado más duro será el cuero, pero se obtiene mayor superficie. Es pegado en placa de vidrio (previo estirado) con el auxilio de un adhesivo, con un tiempo de secado de 5 a 8 horas (según el largo del pasting). Se obtiene un 10-12% más de medida referente al secado natural. Se emplea para todo tipo de cuero de flor corregida (empeine, forro, marroquinería, descarne, etc.) pero no para cueros blandos (guantería, confección, tapicería, napa calzado, empeine flor, etc.). También se usan placas de acero cerrando una cámara donde circula vapor y agua caliente.
El secado de vacío es un secado intermedio entre pasting y secado natural; se obtiene un 5% más de medida respecto del natural. El tiempo de secado depende del grosor del cuero y da la blandura deseada (oscila entre 1-6 minutos). No se requiere adhesivo y esto es importante para el cuero que se acaba con flor plena. Es una máquina para utilizar en diferentes procesos (despus de ablandado, de la impregnación, previo al segundo esmerilado, para alisar la superficie). Se puede utilizar para presecado y terminar de secar en túneles de secado y en terminación propiamente dicha. Se trata de dos superficies que se superponen: una lisa que es la que se calienta y la otra con una fina malla que es a través de la que se hace vaco; las mismas se superponen con el cuero en medio.
Los secados con aire caliente togling ,colgaderos logran un control más exacto de la humedad final del cuero as como en el caso del togling la tensión de estirado proporciona una mayor medida (10% como máximo)</t>
  </si>
  <si>
    <t>seco</t>
  </si>
  <si>
    <t>Véase Salado.</t>
  </si>
  <si>
    <t>serraje</t>
  </si>
  <si>
    <t>Véase Descarne.</t>
  </si>
  <si>
    <t>sin acabar</t>
  </si>
  <si>
    <t>Cuero que no ha sido sometido a los procesos de acabado.</t>
  </si>
  <si>
    <t>sin terminar</t>
  </si>
  <si>
    <t>Véase Sin acabar.</t>
  </si>
  <si>
    <t>softy</t>
  </si>
  <si>
    <t>Término genérico que se aplica a un cuero para empeine muy suave y muy flexible.</t>
  </si>
  <si>
    <t>soltura de flor</t>
  </si>
  <si>
    <t>Cuando la capa flor está sin cohesión a la capa subyacente del corium principal y forma arrugas o pliegues, cuando se encorva el cuero con la flor hacia adentro.</t>
  </si>
  <si>
    <t>soplete</t>
  </si>
  <si>
    <t>Se utiliza cuando lo que se desea es la división de las preparaciones del acabado en finísimas gotas y que estas se depositen en la superficie del cuero lo más uniformemente posible.</t>
  </si>
  <si>
    <t>soplete airless (atomizado sin aire)</t>
  </si>
  <si>
    <t>soplete convencional</t>
  </si>
  <si>
    <t>El principio de su funcionamiento está dado por un determinado caudal de aire canalizado a través de una tobera la cual tiene una válvula que abre y cierra el paso del mismo. Mediante la regulación de la corriente de aire se varia la dosificación del líquido. Es decir que variando la relación producto/aire se logra una aplicación más húmeda o más seca. Regulando la forma de paso del aire por los difusores se modifica el tamaño del abanico. La alimentación de la pistola puede realizarse mediante un tanque colocado sobre el nivel de la misma, cayendo el producto por gravedad y por medio de una manguera conectada al soplete, o bien mediante un recipiente con presión suficiente para llevar el líquido a la pistola. Este procedimiento tiene la ventaja de que variando la presión del recipiente podemos variar el caudal de líquido que llega a la pistola con independencia de la presión de aire soplado y de esta manera se pueden usar picos con mayor cantidad de difusores.</t>
  </si>
  <si>
    <t>sopletes HVLP</t>
  </si>
  <si>
    <t>Se trata de equipos capaces de pulverizar la pintura con baja presión (menos de 4 Kg/cm2) y con un alto volumen de salida. Logra efectos de mucha carga sin "rebote", así como, si se desea, efectos especiales. Es un método moderno y económico ya que desperdicia poca pintura en el aire de extracción.</t>
  </si>
  <si>
    <t>suavidad</t>
  </si>
  <si>
    <t>Propiedad o mano del cuero, hace referencia a su cuerpo y caída.</t>
  </si>
  <si>
    <t>suela</t>
  </si>
  <si>
    <t>Cuero curtido con cortezas de árboles o extractos curtientes vegetales. Se utilizan generalmente extractos procedentes de acacia mimosa, robles o pinos.</t>
  </si>
  <si>
    <t>suela carona</t>
  </si>
  <si>
    <t>Cuero vacuno sin dividir, curtido al vegetal, de forma tal que se obtenga buena resistencia a la tracción y tacto pastoso. Este cuero puede ser acabado para guarnicionería y correas.</t>
  </si>
  <si>
    <t>tacto</t>
  </si>
  <si>
    <t>El tacto superficial de la piel se modifica con agentes bastante específicos como las siliconas, los aceites y las ceras. El tacto puede ser: natural, ceroso, graso, siliconado, sedoso, plástico y pegajoso.
El tacto natural es un tacto muy cálido, seco y suave similar al de la piel suave ablandada. En este caso se trata de utilizar productos que no modifiquen demasiado el tacto propio de la misma piel. Se consigue en general dando ligeras aplicaciones de una equilibrada mezcla de proteínas. Para los acabados anapados, ayuda a lograr un tacto más agradable, se agrega pequeñas proporciones de alguna cera, de punto de fusión medio o alto.
El tacto graso es un tacto cálido y untoso, resbaladizo y con cierta tendencia a pegarse a la mano. Normalmente está presente en artículos de aspecto mate o semibrillo. Se consigue aplicando grasas o aceites y a veces, también se obtienen buenos tactos grasos por aplicación de emulsiones catiónicas de ceras.El tacto siliconado es un tacto frío, muy resbaladizo, deslizante y antiadherente y se aplica para artículos brillantes o mates. Se consigue mediante la aplicación de aceites a silicona. 
El tacto sedoso es un tacto muy suave, liso y cálido que en general tiene muy poco brillo. Para conseguir un tacto sedoso no se dispone de ningún producto específico, se recurre a la mezcla de productos básicos que se utilizan para obtener otros tactos. 
El tacto plástico es un tacto artificial y frío que nos da una sensación táctil podría decirse que desagradable, rígido y gomoso pudiendo ser de aspecto brillante o mate. Este tacto corresponde al tacto frío y desagradable de las lacas y resinas, y cuando hablamos de él, en general es para evitarlo.El tacto áspero es un tacto no deslizante, irregular y de superficie rugosa. Se obtiene por un exceso de carga en relación al ligante, por mala pulverización de las pistolas aerográficas y por aplicar una cantidad de dispersión muy reducida y concentrada que no le permite formar una película uniforme sobre la piel. Normalmente tratamos de evitarlo o corregirlo. Los acabados mates tienden a ser más ásperos que los brillantes.
El tacto pegajoso es un tacto a la mano cálido con tendencia a ser adherente entre sí. Lo proporcionan los productos blandos y se favorece cuando se incorporan a la película final aceites, grasas y plastificantes. Un tacto pegajoso puede estar de moda, de lo contrario no es deseable.</t>
  </si>
  <si>
    <t>tafilete</t>
  </si>
  <si>
    <t>Piel de cabra joven. Es una piel más fina y cara.</t>
  </si>
  <si>
    <t>talabatería (cuero)</t>
  </si>
  <si>
    <t>Cuero bovino de curtición vegetal, dividido y engrasado, apto para ser utilizado en talabartería y equipos militares.</t>
  </si>
  <si>
    <t>teñido</t>
  </si>
  <si>
    <t>Es la operación que tiene por objeto darle un color determinado, ya sea superficialmente, en parte del espesor o en todo él para mejorar su apariencia, adaptarlo al estilo de moda e incrementar su valor. Es además la operación donde se verán reflejados los errores en operaciones anteriores.</t>
  </si>
  <si>
    <t>teñido anilina</t>
  </si>
  <si>
    <t>Piel o cuero teñido por diversos medios y que no ha recibido ningún recubrimiento de acabado pigmentario.</t>
  </si>
  <si>
    <t>terminado</t>
  </si>
  <si>
    <t>Véase Acabado.</t>
  </si>
  <si>
    <t>ternera</t>
  </si>
  <si>
    <t>La piel de un animal bovino joven o que no ha llegado a la madurez y no excede de aproximadamente 14 Kg. de peso.</t>
  </si>
  <si>
    <t>ternera afelpada</t>
  </si>
  <si>
    <t>Piel de ternera acabada con una felpa aterciopelada, por el lado carne.</t>
  </si>
  <si>
    <t>ternera engrasada afelpada</t>
  </si>
  <si>
    <t>Piel de ternera afelpada por el lado carne, tratada con aceites para hacerla resistente o repelente al agua.</t>
  </si>
  <si>
    <t>testuz</t>
  </si>
  <si>
    <t>Parte del cuero vacuno que cubre la cabeza entre las dos carillas.</t>
  </si>
  <si>
    <t>tiras</t>
  </si>
  <si>
    <t>Doset curtido al cromo, de unos 2 y 1/2 mm. de espesor, acondicionado con grasa natural, que cortado en tiras es apto para la unión de correas de transmisión.</t>
  </si>
  <si>
    <t>tripas (piel en)</t>
  </si>
  <si>
    <t>Término que designa a la piel apelambrada, descarnada y dividida o no, apta para su inmediato curtido.</t>
  </si>
  <si>
    <t>vaca bombeada</t>
  </si>
  <si>
    <t>Piel de vaca que se introduce en un bombo, como dice su nombre donde se rompen sus fibras haciendo que la piel una vez salga del bombo esté muy blanda, con mucha caída, además durante el proceso, la piel ha adquirido una especie de grabado natural, único en cada piel ya que no se utiliza ninguna plancha, por eso el nombre de bombeado.</t>
  </si>
  <si>
    <t>vacuno (cuero)</t>
  </si>
  <si>
    <t>Piel en bruto de un animal bovino adulto. Véase Cuero.</t>
  </si>
  <si>
    <t>vaqueta para valijas</t>
  </si>
  <si>
    <t>Cuero armado, teñido o pintado, generalmente con acabado de superficie lisa y a veces grabado con un grano artificial. Elaborado a partir de cuero bovino curtido al vegetal, de flor completa o desflorado. Se utiliza en la manufactura de maletas, maletines de mano y artículos similares.</t>
  </si>
  <si>
    <t>vaquetilla</t>
  </si>
  <si>
    <t>Procedente del bovino, normalmente de ternera o becerro, es una piel que destaca por ser curtida con un proceso vegetalEs un tipo de piel que suele presentarse en grosores desde unos 5 mm. a 1.2 mm aproximadamente, con mucho cuerpo y bastante  rigidez.</t>
  </si>
  <si>
    <t>velvet</t>
  </si>
  <si>
    <t>Descarne curtido cuya superficie ha sido acabada de manera que tenga tina felpa aterciopelada.</t>
  </si>
  <si>
    <t>vitela</t>
  </si>
  <si>
    <t>Piel de cabra no nato semi-curtida, fundamentalmente para pergaminos.</t>
  </si>
  <si>
    <t>wet-blue</t>
  </si>
  <si>
    <t>Cueros curtidos al cromo con un alto contenido de agua y sin ningún tratamiento posterior.</t>
  </si>
  <si>
    <t>wet-white</t>
  </si>
  <si>
    <t>El "wet-white" es un material pre-curtido con las siguientes propiedades:
1. Una temperatura adecuada de encogimiento que permite el dividido y el rebajado.
2. Las virutas y recortes están libres de cromo, sales metálicas y fenol.
3. Posee un elevado grado de flexibilidad con respecto al subsiguiente método de curtido.
4. El material pre-curtido, debido al nivel relativamente bajo de curtido, es objeto de relajamiento luego del proceso de dividido y es extendido durante el rebajado, permitiendo un significativo rendimiento de superficie.
El nombre de "wet-white" (blanco mojado) no es sin embargo muy adecuado, dado que el material pre-curtido no es blanco.</t>
  </si>
  <si>
    <t>yute</t>
  </si>
  <si>
    <t>Tipo de fibra natural que se utiliza habitualmente en la industria del cuero como material de soporte para artículos de piel. El yute es conocido por su resistencia y durabilidad.</t>
  </si>
  <si>
    <t>juvenil (cuero)</t>
  </si>
  <si>
    <t>Término utilizado para describir un tipo de piel diseñado específicamente para su uso en calzado infantil y otros artículos de piel. La piel juvenil suele tratarse con acabados especiales para hacerla más resistente al desgaste.</t>
  </si>
  <si>
    <t>jockey</t>
  </si>
  <si>
    <t>Término utilizado para describir un tipo de cuero blando y flexible que se suele utilizar para fabricar sillas de montar. La piel de jockey suele ser de vaca o de canguro.</t>
  </si>
  <si>
    <t>piel del revés</t>
  </si>
  <si>
    <t>Un tipo de cuero que se procesa con el lado de la flor hacia dentro, creando una textura única.</t>
  </si>
  <si>
    <t>piel entretejida</t>
  </si>
  <si>
    <t>Un tipo de cuero que se fabrica entrelazando tiras de cuero para crear un aspecto único y texturizado. La piel entrelazada se utiliza a menudo en la producción de artículos de piel de gama alta, como bolsos y zapatos.</t>
  </si>
  <si>
    <t>piel intarsia</t>
  </si>
  <si>
    <t>Técnica de marroquinería que consiste en incrustar pequeños trozos de piel en una pieza mayor para crear un diseño o dibujo decorativo. La intarsia se utiliza a menudo en la producción de accesorios y prendas de piel.</t>
  </si>
  <si>
    <t>cuero planchado</t>
  </si>
  <si>
    <t>Un tipo de cuero que ha sido tratado con calor y presión para crear un aspecto liso y brillante. El cuero planchado se utiliza a menudo en la producción de artículos de cuero de alta gama, como bolsos y zapatos.</t>
  </si>
  <si>
    <t>costura invertida</t>
  </si>
  <si>
    <t>Técnica de marroquinería que consiste en coser dos piezas de cuero con las costuras hacia fuera, creando un efecto decorativo único.</t>
  </si>
  <si>
    <t>entretela</t>
  </si>
  <si>
    <t>Componente de un artículo de piel que se coloca entre la capa exterior de piel y la capa interior de forro. La entretela puede proporcionar estructura y soporte adicionales a los artículos de piel.</t>
  </si>
  <si>
    <t>cuero resistente a la tinta</t>
  </si>
  <si>
    <t>Un tipo de cuero que ha sido tratado con un acabado especial para hacerlo más resistente a las manchas de tinta. La piel resistente a la tinta se utiliza a menudo en la producción de artículos de piel como carteras y maletines.</t>
  </si>
  <si>
    <t>incrustación</t>
  </si>
  <si>
    <t>Técnica decorativa que consiste en recortar un diseño o dibujo en la piel e insertar otra pieza de piel o material en el recorte. La incrustación puede añadir interés visual y textura a los artículos de cuero.</t>
  </si>
  <si>
    <t>cuero ingrain</t>
  </si>
  <si>
    <t>Un tipo de cuero que ha sido tratado con un tinte especial para crear un color uniforme en todo el cuero. El cuero ingrain se utiliza a menudo en la fabricación de muebles y tapicerías de cuero.</t>
  </si>
  <si>
    <t>piel irlandesa</t>
  </si>
  <si>
    <t>Un tipo de cuero que se produce en Irlanda y es conocido por su alta calidad y durabilidad. La piel irlandesa se utiliza a menudo en la fabricación de zapatos y otros artículos de piel.</t>
  </si>
  <si>
    <t>cuero marfil</t>
  </si>
  <si>
    <t>Un tipo de cuero que tiene un color blanco cremoso, parecido al color del marfil. La piel de marfil se utiliza a menudo en la producción de artículos de piel de alta gama, como bolsos y zapatos.</t>
  </si>
  <si>
    <t>insolvente</t>
  </si>
  <si>
    <t>Término utilizado para describir un proceso de curtición en el que se utilizan disolventes para disolver y eliminar las grasas y aceites de las pieles animales. El curtido insolvente puede ser más rápido y eficaz que otros tipos de curtido.</t>
  </si>
  <si>
    <t>planchado</t>
  </si>
  <si>
    <t>Técnica de marroquinería que consiste en utilizar una plancha caliente para alisar las arrugas y pliegues de la piel. El planchado puede ayudar a dar un aspecto más pulido a los artículos de piel.</t>
  </si>
  <si>
    <t>piel invertida</t>
  </si>
  <si>
    <t>Un tipo de piel que se procesa con el lado de la flor hacia dentro, lo que crea una textura y un aspecto únicos. La piel invertida se utiliza a menudo en la producción de artículos de piel de gama alta, como bolsos y carteras.</t>
  </si>
  <si>
    <t>piel italiana</t>
  </si>
  <si>
    <t>Un tipo de cuero que se produce en Italia y es conocido por su alta calidad y durabilidad. La piel italiana se utiliza a menudo en artículos de piel de gama alta, como zapatos, bolsos y chaquetas.</t>
  </si>
  <si>
    <t>imitación de piel</t>
  </si>
  <si>
    <t>Un tipo de material sintético diseñado para tener el aspecto y el tacto del cuero. La imitación de piel puede fabricarse con distintos materiales, como PVC y poliuretano.</t>
  </si>
  <si>
    <t>plantilla</t>
  </si>
  <si>
    <t>Componente de un zapato o bota que se coloca dentro del zapato y proporciona amortiguación y apoyo al pie. Las plantillas pueden ser de distintos materiales, incluida la piel.</t>
  </si>
  <si>
    <t>pegamento de cuero</t>
  </si>
  <si>
    <t>Tipo de cola fabricada con pieles de animales y utilizada en la marroquinería. La cola para cuero es conocida por su resistencia y durabilidad, y se suele utilizar en la fabricación de artículos de cuero.</t>
  </si>
  <si>
    <t>cuero grueso</t>
  </si>
  <si>
    <t>Un tipo de cuero más grueso y duradero que otros. El cuero grueso se utiliza a menudo en la fabricación de sillas de montar, cinturones y otros artículos que requieren resistencia y durabilidad.</t>
  </si>
  <si>
    <t>piel de grano grueso</t>
  </si>
  <si>
    <t>Tipo de piel que se ha lijado o pulido para crear un aspecto liso y uniforme. El cuero de grano grueso se utiliza a menudo en la producción de zapatos y otros artículos de cuero.</t>
  </si>
  <si>
    <t>peletería</t>
  </si>
  <si>
    <t>Término utilizado para describir un taller o fábrica donde las pieles se transforman en artículos de cuero. Las peleterías pueden especializarse en distintos tipos de cuero o productos de cuero.</t>
  </si>
  <si>
    <t>curtido en caliente</t>
  </si>
  <si>
    <t>Proceso de curtido del cuero que consiste en añadir aceites, grasas u otras grasas al cuero para hacerlo más flexible, blando y flexible. El relleno en caliente es un paso esencial en el proceso de curtido de la piel.</t>
  </si>
  <si>
    <t>piel granulada a mano</t>
  </si>
  <si>
    <t>Un tipo de cuero que ha sido lijado o pulido para crear una textura única. La piel granulada a mano suele utilizarse en artículos de piel de gama alta, como zapatos y bolsos.</t>
  </si>
  <si>
    <t>piel en espiga</t>
  </si>
  <si>
    <t>Un tipo de cuero que tiene un patrón distintivo que se asemeja a una espiga. La piel en espiga se utiliza a menudo en la producción de artículos de piel de gama alta, como chaquetas y bolsos.</t>
  </si>
  <si>
    <t>cuero de cabeza</t>
  </si>
  <si>
    <t>Tipo de cuero fabricado con la piel de la cabeza de un animal. El cuero de cabeza suele ser más duradero y menos elástico que otros tipos de cuero.</t>
  </si>
  <si>
    <t>hidratador</t>
  </si>
  <si>
    <t>Herramienta de marroquinería que se utiliza para añadir humedad al cuero, haciéndolo más flexible y fácil de trabajar. Los hidratantes se utilizan habitualmente en el proceso de curtido del cuero.</t>
  </si>
  <si>
    <t>cuero Horween</t>
  </si>
  <si>
    <t>Un tipo de cuero producido por la Horween Leather Company de Chicago, conocida por su alta calidad y durabilidad. La piel Horween se utiliza a menudo en artículos de piel de gama alta, como zapatos y bolsos.</t>
  </si>
  <si>
    <t>dobladillo</t>
  </si>
  <si>
    <t>Técnica de marroquinería que consiste en doblar y coser los bordes de una pieza de cuero para crear un borde acabado. El dobladillo puede ayudar a evitar el deshilachado y dar a los artículos de piel un aspecto más pulido.</t>
  </si>
  <si>
    <t>escudete</t>
  </si>
  <si>
    <t>Componente de cuero que se añade a los lados o al fondo de un artículo de cuero para crear espacio o volumen extra. Los fuelles pueden ser decorativos o funcionales.</t>
  </si>
  <si>
    <t>gubia</t>
  </si>
  <si>
    <t>Herramienta de marroquinería que se utiliza para cortar o raspar la piel, normalmente para crear diseños decorativos o funcionales.</t>
  </si>
  <si>
    <t>ojal</t>
  </si>
  <si>
    <t>Pequeño anillo de metal o plástico que se utiliza para reforzar un agujero en el cuero u otros materiales. Los ojales se utilizan habitualmente en la fabricación de zapatos, botas y otros artículos de cuero.</t>
  </si>
  <si>
    <t>grano</t>
  </si>
  <si>
    <t>La capa más externa de la piel de un animal, que se utiliza para fabricar cuero. La textura y el aspecto de la flor pueden variar según el animal y el proceso de curtido.</t>
  </si>
  <si>
    <t>ojo de pez</t>
  </si>
  <si>
    <t>Término utilizado para describir una pequeña mancha circular o imperfección en la superficie del cuero causada por la contaminación u otros factores. Los ojos de pez pueden afectar a la calidad y el aspecto de los artículos de cuero.</t>
  </si>
  <si>
    <t>calado</t>
  </si>
  <si>
    <t>Técnica decorativa que consiste en cortar intrincados diseños o dibujos en la piel con una herramienta afilada o una cuchilla. El calado puede añadir interés visual a los artículos de cuero.</t>
  </si>
  <si>
    <t>solapa</t>
  </si>
  <si>
    <t>Componente de cuero que cubre o protege una abertura en un artículo de cuero, como un bolsillo o una cremallera. Las solapas pueden ser decorativas o funcionales.</t>
  </si>
  <si>
    <t>filete de cuero</t>
  </si>
  <si>
    <t>Tira fina y flexible de cuero que se utiliza a menudo en la producción de empeines de zapatos u otros artículos de cuero que requieren flexibilidad.</t>
  </si>
  <si>
    <t>marcado a fuego</t>
  </si>
  <si>
    <t>Técnica decorativa que consiste en grabar un diseño o dibujo en la piel con un sello de metal caliente. El marcado a fuego puede crear diseños únicos e intrincados en artículos de cuero.</t>
  </si>
  <si>
    <t>flocado</t>
  </si>
  <si>
    <t>Técnica decorativa que consiste en aplicar pequeñas fibras o partículas a la superficie de la piel mediante un adhesivo. El flocado puede añadir textura e interés visual a los artículos de cuero.</t>
  </si>
  <si>
    <t>exceso de carne</t>
  </si>
  <si>
    <t>La capa de grasa y tejido que se retira de la parte inferior de la piel de un animal durante el proceso de producción del cuero. El exceso de carne suele desecharse o utilizarse en otras aplicaciones, como fertilizante o alimento para mascotas.</t>
  </si>
  <si>
    <t>uso final</t>
  </si>
  <si>
    <t>Destino o aplicación de un producto de piel, como zapatos, bolsos o tapicería. Comprender el uso final de la piel puede ayudar a determinar el tipo y la calidad de piel más adecuados.</t>
  </si>
  <si>
    <t>creaser de bordes</t>
  </si>
  <si>
    <t>Herramienta de marroquinería utilizada para crear un pliegue o ranura a lo largo del borde de una pieza de cuero. El pliegue se puede utilizar como guía para coser u otras uniones.</t>
  </si>
  <si>
    <t>bordado</t>
  </si>
  <si>
    <t>Técnica de marroquinería utilizada para alisar y rematar los bordes de una pieza de cuero. El ribeteado puede ayudar a evitar el deshilachado y dar a los artículos de cuero un aspecto más pulido.</t>
  </si>
  <si>
    <t>repujado</t>
  </si>
  <si>
    <t>Técnica utilizada para crear diseños o motivos decorativos en la piel estampando o presionando la superficie. El repujado puede añadir textura e interés visual a los artículos de cuero.</t>
  </si>
  <si>
    <t>lijado con tambor</t>
  </si>
  <si>
    <t>Cuero que ha sido lijado utilizando un tambor giratorio para crear una superficie lisa y uniforme. El lijado con tambor se utiliza habitualmente en la producción de cuero para tapicería.</t>
  </si>
  <si>
    <t>inmersión</t>
  </si>
  <si>
    <t>Proceso que consiste en sumergir la piel en una solución líquida, a menudo utilizada en el proceso de curtido. La inmersión ayuda a mejorar la textura y el color de la piel.</t>
  </si>
  <si>
    <t>tambor</t>
  </si>
  <si>
    <t>Proceso que consiste en hacer girar la piel en un gran tambor para ablandarla y acondicionarla. Este proceso ayuda a mejorar la textura, flexibilidad y durabilidad de la piel.</t>
  </si>
  <si>
    <t>trefilar</t>
  </si>
  <si>
    <t>Herramienta de marroquinería que se utiliza para crear una línea recta y uniforme en la piel. La herramienta se arrastra por la superficie para crear un pliegue que puede utilizarse como guía para coser o cortar.</t>
  </si>
  <si>
    <t>double butted</t>
  </si>
  <si>
    <t>Cuero dividido en dos capas para crear un material más fino y flexible. Este tipo de cuero se utiliza a menudo en la fabricación de calzado y bolsos.</t>
  </si>
  <si>
    <t>ciervo (piel)</t>
  </si>
  <si>
    <t>Tipo de piel fabricada con la piel del ciervo. La piel de ciervo es conocida por su suavidad, durabilidad y veteado natural, lo que la hace ideal para prendas de vestir, guantes y accesorios.</t>
  </si>
  <si>
    <t>aderezo</t>
  </si>
  <si>
    <t>Sustancia utilizada para acondicionar y proteger la piel, normalmente a base de aceites o ceras naturales. Ayuda a mejorar la durabilidad y el aspecto de los artículos de piel.</t>
  </si>
  <si>
    <t>curado</t>
  </si>
  <si>
    <t>El proceso de preservar las pieles de animales tratándolas con sal u otros productos químicos. El curado es un paso importante en el proceso de curtido del cuero, ya que ayuda a prevenir la putrefacción y a preservar la calidad del cuero.</t>
  </si>
  <si>
    <t>cuero en crust</t>
  </si>
  <si>
    <t>Piel curtida pero no acabada ni coloreada. La piel en crust puede teñirse o acabarse para satisfacer las necesidades específicas del fabricante.</t>
  </si>
  <si>
    <t>Cordwain</t>
  </si>
  <si>
    <t>Término utilizado para describir el cuero de alta calidad fabricado con piel de cabra u oveja. La piel Cordwain es conocida por su durabilidad y flexibilidad, y se utiliza a menudo para artículos de piel de lujo.</t>
  </si>
  <si>
    <t>tallado</t>
  </si>
  <si>
    <t>Técnica decorativa utilizada para crear dibujos o diseños en la piel cortando o tallando la superficie. El tallado puede añadir textura e interés visual a los artículos de piel.</t>
  </si>
  <si>
    <t>ciclodextrina</t>
  </si>
  <si>
    <t>Sustancia utilizada en el proceso de curtido para mejorar la resistencia al agua y la durabilidad de la piel. La ciclodextrina también puede ayudar a reducir el impacto medioambiental de la producción de cuero.</t>
  </si>
  <si>
    <t>cuir bouilli</t>
  </si>
  <si>
    <t>Método de curtido del cuero que consiste en hervirlo en agua u otros líquidos para hacerlo más duradero y resistente al agua. El cuir bouilli era un método de curtido común en la antigüedad.</t>
  </si>
  <si>
    <t>cutícula</t>
  </si>
  <si>
    <t>La capa más externa de la piel de un animal, que se elimina durante el proceso de curtido del cuero. La cutícula puede afectar a la calidad y el aspecto del cuero.</t>
  </si>
  <si>
    <t>crocking</t>
  </si>
  <si>
    <t>Transferencia de tinte de la piel a otras superficies. Puede ser un problema con ciertos tipos de cuero, y puede evitarse con técnicas adecuadas de acabado y teñido.</t>
  </si>
  <si>
    <t>aglutinante</t>
  </si>
  <si>
    <t>Sustancia utilizada para mantener unidas las fibras del cuero durante el proceso de curtido. Los aglutinantes pueden ayudar a mejorar la resistencia y durabilidad del cuero.</t>
  </si>
  <si>
    <t>revestimiento</t>
  </si>
  <si>
    <t>Material que se aplica al dorso de la piel para mejorar su resistencia y durabilidad. El forro puede ayudar a evitar que la piel se estire o se rompa.</t>
  </si>
  <si>
    <t>vientre (piel de)</t>
  </si>
  <si>
    <t>Tipo de piel que procede del vientre de un animal y que suele utilizarse para artículos de piel más baratos. Suele ser más fina y menos duradera que otros tipos de piel.</t>
  </si>
  <si>
    <t>bicast (piel)</t>
  </si>
  <si>
    <t>Tipo de piel fabricada con serraje recubierto de una capa de poliuretano u otro material sintético. La piel bicast se utiliza a menudo en la fabricación de muebles y otros artículos de alto desgaste.</t>
  </si>
  <si>
    <t>bruñido</t>
  </si>
  <si>
    <t>Técnica de acabado que consiste en frotar los bordes de la piel para suavizarlos y pulirlos. El bruñido puede ayudar a mejorar la durabilidad y el aspecto de los artículos de cuero.</t>
  </si>
  <si>
    <t>pulido</t>
  </si>
  <si>
    <t>Proceso que consiste en lijar ligeramente la superficie del cuero para eliminar imperfecciones o manchas. El pulido puede ayudar a mejorar el aspecto y la textura del cuero.</t>
  </si>
  <si>
    <t>astringente</t>
  </si>
  <si>
    <t>Sustancia utilizada en el proceso de curtido para ayudar a conservar y fortalecer el cuero. Los astringentes pueden ayudar a mejorar la calidad</t>
  </si>
  <si>
    <t>lezna</t>
  </si>
  <si>
    <t>Herramienta puntiaguda utilizada para perforar o coser cuero. El punzón es una herramienta esencial en el trabajo del cuero, que se utiliza para hacer agujeros y coser cuero.</t>
  </si>
  <si>
    <t>pintura de bordes</t>
  </si>
  <si>
    <t>Tipo de pintura o acabado utilizado para colorear y proteger los bordes de la piel. La pintura para bordes puede ayudar a evitar que se deshilachen y dar a los artículos de cuero un aspecto más acabado.</t>
  </si>
  <si>
    <t>piel ecológica</t>
  </si>
  <si>
    <t>Piel producida con métodos y materiales respetuosos con el medio ambiente. La producción de cuero ecológico puede ayudar a reducir los residuos y la contaminación asociados a la industria del cuero.</t>
  </si>
  <si>
    <t>kipskin</t>
  </si>
  <si>
    <t>Tipo de cuero que se fabrica con la piel de una vaca joven o pequeña. Es conocida por su suavidad y flexibilidad, y se utiliza a menudo en la fabricación de zapatos y guantes.</t>
  </si>
  <si>
    <t>canguro (piel)</t>
  </si>
  <si>
    <t>Un tipo de cuero que se fabrica con la piel de un canguro. El cuero de canguro es conocido por su resistencia, durabilidad y flexibilidad, y se utiliza a menudo en la producción de equipamiento deportivo de alta gama, como los tacos de fútbol.</t>
  </si>
  <si>
    <t>hilo kevlar</t>
  </si>
  <si>
    <t>Tipo de hilo fabricado con fibras de Kevlar, conocidas por su resistencia y durabilidad. El hilo Kevlar se utiliza a menudo en la fabricación de artículos de cuero, como bolsos y carteras.</t>
  </si>
  <si>
    <t>queratina</t>
  </si>
  <si>
    <t>Proteína que se encuentra en la piel, el pelo y las uñas de los animales, y es el principal componente del cuero. La queratina confiere al cuero su resistencia, durabilidad y propiedades únicas.</t>
  </si>
  <si>
    <t>cordón Krause</t>
  </si>
  <si>
    <t>Técnica de marroquinería que consiste en unir dos piezas de cuero mediante una serie de bucles y nudos. El encaje Krause se utiliza a menudo en la producción de artículos de cuero como carteras y bolsos.</t>
  </si>
  <si>
    <t>culote</t>
  </si>
  <si>
    <t>La zona de la piel de la vaca que incluye el rabo y la grupa, y se utiliza a menudo en la producción de artículos de cuero blandos y flexibles, como zapatos y guantes.</t>
  </si>
  <si>
    <t>Kikers (piel)</t>
  </si>
  <si>
    <t>Un tipo de piel especialmente tratada para hacerla más duradera y resistente al desgaste. La piel Kickers se utiliza a menudo en la producción de zapatos y otros artículos de piel que requieren un alto grado de durabilidad.</t>
  </si>
  <si>
    <t>forro</t>
  </si>
  <si>
    <t>Componente de un artículo de piel que se coloca en el interior de la capa exterior de piel. El forro puede proporcionar una estructura y un soporte adicionales a los artículos de piel, y también puede ayudar a proteger el interior del producto.</t>
  </si>
  <si>
    <t>lagarto (piel)</t>
  </si>
  <si>
    <t>Tipo de piel que se fabrica con la piel de un lagarto. La piel de lagarto es conocida por su textura y dibujo únicos, y se utiliza a menudo en la fabricación de bolsos y zapatos de lujo.</t>
  </si>
  <si>
    <t>telar</t>
  </si>
  <si>
    <t>Máquina utilizada en la industria del cuero para entrelazar fibras y crear diversos materiales, como telas y tejidos.</t>
  </si>
  <si>
    <t>moteado</t>
  </si>
  <si>
    <t>Técnica utilizada en el acabado de la piel para crear un efecto moteado o moteado en la superficie de la piel. Este efecto se crea aplicando diferentes tonos de tinte a la piel en un patrón aleatorio.</t>
  </si>
  <si>
    <t>luz de luna</t>
  </si>
  <si>
    <t>Técnica utilizada en el acabado de la piel para crear un efecto bicolor en su superficie. Este efecto se crea aplicando dos tonos diferentes de tinte a la piel.</t>
  </si>
  <si>
    <t>microperforación</t>
  </si>
  <si>
    <t>Técnica utilizada en marroquinería para crear pequeñas perforaciones en la superficie de la piel. La microperforación se utiliza a menudo para crear un efecto decorativo o para mejorar la transpirabilidad de la piel.</t>
  </si>
  <si>
    <t>ombligo (piel de)</t>
  </si>
  <si>
    <t>Piel fabricada con la piel de la barriga de la vaca. La piel de ombligo es conocida por su resistencia y durabilidad, y se utiliza a menudo en la fabricación de botas de trabajo y otros artículos de piel para trabajos pesados.</t>
  </si>
  <si>
    <t>fieltrado con aguja</t>
  </si>
  <si>
    <t>Técnica utilizada en marroquinería para crear diseños tridimensionales en el cuero mediante el fieltrado de fibras de lana en la superficie del cuero.</t>
  </si>
  <si>
    <t>negrara (piel de)</t>
  </si>
  <si>
    <t>Tipo de cuero fabricado con la piel de una raza de ovejas del norte de Italia. La piel de Negrara es conocida por su suavidad y su grano fino, y se utiliza a menudo en la producción de artículos de cuero de lujo.</t>
  </si>
  <si>
    <t>piel sin níquel</t>
  </si>
  <si>
    <t>Un tipo de cuero que ha sido tratado para eliminar el níquel, un alérgeno común. La piel sin níquel se utiliza a menudo en la fabricación de accesorios como cinturones y correas de reloj.</t>
  </si>
  <si>
    <t>suela de caucho nitrílico</t>
  </si>
  <si>
    <t>un tipo de suela utilizado en la fabricación de zapatos y botas que está hecho de un material de caucho sintético conocido por su durabilidad y resistencia al deslizamiento.</t>
  </si>
  <si>
    <t>hilo de nailon</t>
  </si>
  <si>
    <t>Un tipo de hilo fabricado con fibras de nailon, conocidas por su resistencia y durabilidad. El hilo de nailon se utiliza a menudo en la producción de artículos de cuero, como bolsos y carteras.</t>
  </si>
  <si>
    <t>hilo Nymo</t>
  </si>
  <si>
    <t>Un tipo de hilo fabricado a partir de nylon, conocido por su resistencia y durabilidad. El hilo de nylon se utiliza a menudo en la fabricación de artículos de cuero, como bolsos y carteras.</t>
  </si>
  <si>
    <t>poro abierto (piel)</t>
  </si>
  <si>
    <t>Piel que ha sido tratada para dejar abiertos los poros de la superficie. La piel de poro abierto se utiliza a menudo en la producción de artículos de piel de gama alta, como chaquetas y bolsos.</t>
  </si>
  <si>
    <t>sobrecosido</t>
  </si>
  <si>
    <t>Técnica utilizada en marroquinería para crear una puntada decorativa que recorre el borde de una pieza de cuero. El sobrecosido se utiliza a menudo en la producción de bolsos y carteras.</t>
  </si>
  <si>
    <t>impresión offset</t>
  </si>
  <si>
    <t>Tipo de impresión utilizado en el acabado del cuero que crea un patrón con efecto 3D. La impresión offset se utiliza a menudo para crear diseños en artículos de cuero como cinturones y carteras.</t>
  </si>
  <si>
    <t>avestruz (piel</t>
  </si>
  <si>
    <t>Piel fabricada con la piel de avestruz. La piel de avestruz es conocida por su patrón único de protuberancias y se utiliza a menudo en la producción de accesorios de moda de alta gama.</t>
  </si>
  <si>
    <t>ombre (piel)</t>
  </si>
  <si>
    <t>Piel teñida para crear un cambio de color gradual de un tono a otro. La piel ombre se utiliza a menudo en la producción de artículos de piel de gama alta, como bolsos y zapatos.</t>
  </si>
  <si>
    <t>organza (piel de)</t>
  </si>
  <si>
    <t>Un tipo de piel que ha sido tratada para darle un aspecto transparente y ligero. La piel de organza se utiliza a menudo en la producción de accesorios de moda de alta gama.</t>
  </si>
  <si>
    <t>sobreteñido</t>
  </si>
  <si>
    <t>Técnica utilizada en el acabado de la piel para teñirla después de haberla teñido. El sobreteñido se utiliza a menudo para crear un color único y personalizado en la piel.</t>
  </si>
  <si>
    <t>tirador</t>
  </si>
  <si>
    <t>Pequeña lengüeta o asa de piel que se utiliza para abrir o cerrar una cremallera en un artículo de piel.</t>
  </si>
  <si>
    <t>pirograbado</t>
  </si>
  <si>
    <t>Técnica utilizada en marroquinería para crear diseños quemando la superficie del cuero con una herramienta caliente.</t>
  </si>
  <si>
    <t>acolchado</t>
  </si>
  <si>
    <t>Capa de espuma u otro material que se añade al interior de un artículo de cuero, como un zapato o un guante, para proporcionar amortiguación y apoyo.</t>
  </si>
  <si>
    <t>palomino (cuero)</t>
  </si>
  <si>
    <t>Un tipo de cuero teñido de un color beige claro conocido como palomino. La piel palomino se utiliza a menudo en la producción de artículos de piel de gama alta, como bolsos y zapatos.</t>
  </si>
  <si>
    <t>ribete</t>
  </si>
  <si>
    <t>Pequeña tira de cuero u otro material que se utiliza para rematar los bordes de un artículo de cuero, como un bolso o una chaqueta.</t>
  </si>
  <si>
    <t>puntera</t>
  </si>
  <si>
    <t>Estilo de zapato o bota con puntera puntiaguda o afilada. Los zapatos de punta puntiaguda se utilizan a menudo en la fabricación de calzado formal.</t>
  </si>
  <si>
    <t>reticulación</t>
  </si>
  <si>
    <t>Proceso de acabado de la piel en el que se texturiza la superficie para crear un dibujo o diseño.</t>
  </si>
  <si>
    <t>redondeo</t>
  </si>
  <si>
    <t>Proceso en el acabado de la piel en el que los bordes de la piel se biselan o redondean para crear un borde liso y uniforme.</t>
  </si>
  <si>
    <t>puntada corrida</t>
  </si>
  <si>
    <t>Tipo de puntada utilizada en el trabajo del cuero en la que la aguja entra y sale del cuero en una línea continua.</t>
  </si>
  <si>
    <t>refuerzo</t>
  </si>
  <si>
    <t>Capa adicional de cuero u otro material que se añade a las zonas de mayor tensión de un artículo de cuero, como un bolso o un zapato, para proporcionar mayor durabilidad y sujeción.</t>
  </si>
  <si>
    <t>bastidor</t>
  </si>
  <si>
    <t>Proceso de acabado de la piel en el que ésta se estira y se cuelga para que se seque después de haber sido tratada con agentes curtientes.</t>
  </si>
  <si>
    <t>retardante</t>
  </si>
  <si>
    <t>Producto químico utilizado en el acabado del cuero para ralentizar el tiempo de secado del cuero, lo que permite disponer de más tiempo para trabajar con él.</t>
  </si>
  <si>
    <t>espuma reticulada</t>
  </si>
  <si>
    <t>Tipo de espuma utilizada en el trabajo del cuero que tiene una estructura reticulada o porosa, lo que le permite absorber líquidos y mejorar la adherencia de los tintes y acabados del cuero.</t>
  </si>
  <si>
    <t>enrrolladora</t>
  </si>
  <si>
    <t>Máquina utilizada en el acabado del cuero para aplicar una capa lisa y uniforme de acabado al cuero.</t>
  </si>
  <si>
    <t>rasuradora</t>
  </si>
  <si>
    <t>Herramienta utilizada en marroquinería para crear pliegues y líneas en el cuero arrastrando una cuchilla afilada por la superficie.</t>
  </si>
  <si>
    <t>colofonia</t>
  </si>
  <si>
    <t>Tipo de resina utilizada en el acabado del cuero para crear una superficie antideslizante en artículos de cuero como guantes y zapatos.</t>
  </si>
  <si>
    <t>desuello</t>
  </si>
  <si>
    <t>Proceso en el que se reduce el grosor de la piel eliminando finas capas de la parte carnosa de la piel. Suele hacerse para conseguir un cuero más fino y flexible para determinadas aplicaciones.</t>
  </si>
  <si>
    <t>puntada a caballete</t>
  </si>
  <si>
    <t>Tipo de puntada utilizada en marroquinería en la que se utilizan dos agujas para coser el cuero, lo que da como resultado una costura más fuerte y duradera.</t>
  </si>
  <si>
    <t>temperatura de contracción</t>
  </si>
  <si>
    <t>La temperatura a la que el cuero empieza a encogerse o combarse. Esta temperatura varía en función del tipo de cuero y de su proceso de curtido.</t>
  </si>
  <si>
    <t>salpicadura</t>
  </si>
  <si>
    <t>Sustancia pulverulenta blanca que puede aparecer en la superficie del cuero. Se debe al exceso de sales y otros materiales que no se han eliminado correctamente durante el proceso de curtido.</t>
  </si>
  <si>
    <t>hendidura</t>
  </si>
  <si>
    <t>Proceso en el que la piel se divide en capas para crear un cuero más fino y flexible. Suele hacerse para crear un cuero adecuado para aplicaciones específicas.</t>
  </si>
  <si>
    <t>embutido</t>
  </si>
  <si>
    <t>Proceso de curtido en el que se aplican al cuero aceites, ceras y otros materiales para mejorar su flexibilidad, durabilidad y aspecto.</t>
  </si>
  <si>
    <t>shearling</t>
  </si>
  <si>
    <t>Tipo de cuero que se fabrica a partir de la piel de una oveja o cordero que ha sido esquilada para crear una longitud uniforme de lana en la superficie.</t>
  </si>
  <si>
    <t>corte de correa</t>
  </si>
  <si>
    <t>Proceso de marroquinería en el que se utiliza una máquina para cortar tiras largas y estrechas de cuero para su uso en correas y otros artículos de marroquinería.</t>
  </si>
  <si>
    <t>Proceso en el que los bordes del cuero se bruñen o pulen para crear un borde liso y pulido.</t>
  </si>
  <si>
    <t>endurecedor</t>
  </si>
  <si>
    <t>Sustancia utilizada en marroquinería para dar rigidez al cuero. Los endurecedores se utilizan a menudo en la producción de cinturones, cuellos y otros artículos de cuero que requieren una estructura rígida.</t>
  </si>
  <si>
    <t>aserrado</t>
  </si>
  <si>
    <t>Método de curtido del cuero que utiliza alumbre y sal en lugar de tanino. Este proceso crea un cuero blanco y poroso que suele utilizarse para encuadernación o guantes.</t>
  </si>
  <si>
    <t>temple</t>
  </si>
  <si>
    <t>Grado de firmeza, flexibilidad o rigidez del cuero. El cuero puede templarse mediante diversos procesos, como el calor, el engrasado o el laminado.</t>
  </si>
  <si>
    <t>tumble finishing</t>
  </si>
  <si>
    <t>Proceso de acabado de la piel en el que ésta se coloca en un tambor giratorio con materiales abrasivos para crear un acabado suave y uniforme.</t>
  </si>
  <si>
    <t>pespunte</t>
  </si>
  <si>
    <t>Puntada decorativa utilizada en marroquinería que es visible en la superficie de la piel. El pespunte puede realizarse en una gran variedad de patrones y estilos.</t>
  </si>
  <si>
    <t>tanino</t>
  </si>
  <si>
    <t>Sustancia natural que se encuentra en ciertas plantas y que se utiliza en el proceso de curtido para transformar las pieles de los animales en cuero.</t>
  </si>
  <si>
    <t>remeter y enrollar</t>
  </si>
  <si>
    <t>Técnica decorativa utilizada en tapicería que consiste en doblar la piel y asegurarla para crear un efecto de mechón o enrollado.</t>
  </si>
  <si>
    <t>urea</t>
  </si>
  <si>
    <t>La urea es un compuesto que contiene nitrógeno y que se utiliza habitualmente en el proceso de curtido del cuero como agente neutralizador para ajustar el pH del cuero.</t>
  </si>
  <si>
    <t>pala</t>
  </si>
  <si>
    <t>La pala es la parte del zapato o la bota que cubre el pie y está hecha de cuero u otros materiales. La parte superior puede diseñarse en varias formas y estilos, dependiendo del tipo de calzado que se fabrique.</t>
  </si>
  <si>
    <t>usnea</t>
  </si>
  <si>
    <t>La usnea es un tipo de liquen que a veces se utiliza en el curtido tradicional del cuero como fuente de taninos. La usnea puede producir un tinte amarillo o marrón y tiene propiedades antimicrobianas.</t>
  </si>
  <si>
    <t>udómetro</t>
  </si>
  <si>
    <t>Un udómetro es un dispositivo utilizado para medir la cantidad de agua que puede absorber el cuero. Los udómetros se utilizan en las pruebas de cuero para determinar la resistencia al agua de los productos de cuero.</t>
  </si>
  <si>
    <t>Tipo de cuero de grano fino fabricado a partir de piel de ternera, que suele utilizarse para encuadernación y caligrafía.</t>
  </si>
  <si>
    <t>vampilla</t>
  </si>
  <si>
    <t>Parte delantera del empeine de un zapato o bota que cubre la puntera y el empeine.</t>
  </si>
  <si>
    <t>puntada en zigzag</t>
  </si>
  <si>
    <t>Tipo de patrón de cosido utilizado en la producción de artículos de cuero, caracterizado por una serie de puntadas diagonales que alternan entre ángulos izquierdos y derechos.</t>
  </si>
  <si>
    <t>tipo</t>
  </si>
  <si>
    <t>definición</t>
  </si>
  <si>
    <t>nombre común</t>
  </si>
  <si>
    <t>nombre español</t>
  </si>
  <si>
    <t>hobo</t>
  </si>
  <si>
    <t>góndola</t>
  </si>
  <si>
    <t>Su forma de la entrada superior que recuerda a una góndola los define. Suelen ser planos o también con la base más ancha que la parte superior. Su forma redondeada los hace muy ergonómicos y fáciles de usar.</t>
  </si>
  <si>
    <t>satchel</t>
  </si>
  <si>
    <t>Bolso a menudo con una correa, que se usa como bandolera. La parte trasera de un bolso se extiende para formar una solapa que se pliega para cubrir la parte superior y se abrocha en la parte delantera. A diferencia de un maletín, tiene lados blandos. Se han utilizado tradicionalmente para llevar libros, pero se han convertido en un complemento de moda desde 2008, popularizado por la Cambridge Satchel Company.</t>
  </si>
  <si>
    <t>doctor bag</t>
  </si>
  <si>
    <t>Rememoran los maletines que usaban los médicos en los años 50-60 con su estética bien de boquilla metálica superior o de tapa con cierre de maleta y candado. Su marcado estilo retro siempre atrae a numerosas seguidoras.</t>
  </si>
  <si>
    <t>shopper</t>
  </si>
  <si>
    <t>Bolso de tamaño grande, con dos asas y generalmente de estilo minimal y formato rectangular. Los conocidos como Shopper bags suelen ser perfectos para el día a día de mujeres que prefieren los bolsos de gran tamaño; incluso a veces sustituyen a los maletines de trabajo.</t>
  </si>
  <si>
    <t>drawstring</t>
  </si>
  <si>
    <t>bombonera</t>
  </si>
  <si>
    <t>Su base rectangular y su estilo cilíndrico o de cubo permite fruncir su parte superior con una correa fina o Drawstring para ejercer de cierre. Históricamente ha sido muy atractivo en diferentes épocas y en diversos tamaños. Hoy vuelven a estar de tendencia y su estilo revive su máximo esplendor.</t>
  </si>
  <si>
    <t>pouch</t>
  </si>
  <si>
    <t>portadocumentos</t>
  </si>
  <si>
    <t>Con aspecto de funda o también como protector de ordenador, no suelen incorporar asas, casi siempre cierran con cremallera… superior en forma de L o de U. Algunas millennials la están adaptando a su vestuario. Sus tamaños van desde reducidas o tipo neceser hasta las grandes según sean objetos personales, tabletas, documentos u ordenadores los elementos a transportar.</t>
  </si>
  <si>
    <t>shoulder bag</t>
  </si>
  <si>
    <t>bandolera</t>
  </si>
  <si>
    <t>Hasta hace unos años que no existían tantas definiciones era una de las descripciones más extensas para nombrar cualquier bolso que tuviera una correa lo suficientemente larga como para poder colgarlo del hombro o incluso llevarlo cruzado. Normalmente eran de tamaño mediano, aunque hoy también apostamos por pequeños incluso grandes en esta maxi definición.</t>
  </si>
  <si>
    <t>clutch</t>
  </si>
  <si>
    <t>cartera, sobre, wristlet</t>
  </si>
  <si>
    <t>Bolso de señora sin asas, muchas veces con una correa de cadena desmontable. Se utiliza principalmente como bolso de noche, pero también se puede llevar durante el día. Por lo general, es de tamaño muy pequeño y contiene solo los elementos más necesarios para llevar a un evento. Mucha gente argumenta que es el bolso más incómodo de todos porque hay que sostenerlo en las manos o debajo del brazo.</t>
  </si>
  <si>
    <t>bowling</t>
  </si>
  <si>
    <t>Diseñado originalmente para llevar las bolas de bolos. Robusto y con asas fuertes, de diversos tamaños y forma ligeramente redondeada, este tipo de bolsos está concebido para llevarlo en la mano, con sus dos asas cortas y a diferencia de los legendarios bolsos de Bolera americanos, de donde viene su nombre, suelen incorporar correa de bandolera para llevarlo al hombro o cruzado.</t>
  </si>
  <si>
    <t>minaudière</t>
  </si>
  <si>
    <t>mini</t>
  </si>
  <si>
    <t>De formato ultra reducido, en estos bolsos mini cabe lo justo y necesario: una tarjeta, las llaves para regresar de fiesta y poco más. En algunos no entra ni un smartphone.</t>
  </si>
  <si>
    <t>backpack</t>
  </si>
  <si>
    <t>mochila</t>
  </si>
  <si>
    <t>Se lleva a la espalda mediante dos correas para los hombros. A menudo con un cierre fruncido bajo una solapa, con una variedad de bolsillos externos con cremallera, fruncidos o con solapa, y un asa en la parte superior. Se hizo famoso por los excursionistas y ahora es popular para la escuela y la universidad. Más fresco si se lleva en un hombro.</t>
  </si>
  <si>
    <t>belt bag</t>
  </si>
  <si>
    <t>riñonera</t>
  </si>
  <si>
    <t>Pequeña bolsa de cuero o tela con una cremallera frontal o superior y que se lleva con una correa alrededor de las caderas o la cintura. Ahora se suele llevar con el bolso en la parte delantera. Aunque durante muchos años las riñoneras se consideraron anticuadas y bastante ridículas, la casa Gucci las reintrodujo y están regresando.</t>
  </si>
  <si>
    <t>wristlet</t>
  </si>
  <si>
    <t>Bolso de mano que incorpora una cadena o pulsera para poder llevarla colgada de la muñeca.</t>
  </si>
  <si>
    <t>baguette</t>
  </si>
  <si>
    <t>Bolso pequeño asegurado por una solapa con un asa en la parte superior, lo suficientemente grande como para guardar lo esencial. Se hizo famoso por el programa de televisión Sex and the City. Pero también existe la auténtica bolsa baguette, ¡diseñada para transportar el pan!</t>
  </si>
  <si>
    <t>barrel</t>
  </si>
  <si>
    <t xml:space="preserve">Un cilindro horizontal cerrado con cremallera, sujeto por dos correas y llamado así por su forma. También funciona como bolso de equipo, bolso de gimnasio o bolso de fin de semana. </t>
  </si>
  <si>
    <t>playa</t>
  </si>
  <si>
    <t>Una variación más grande de un bolso de mano, que suele tener asas de cuerda y una parte superior abierta para llevar toallas de playa, y puede tener un forro de nailon impermeable para trajes mojados. Generalmente con bolsillos para organizar bronceador, gafas de sol y material de lectura.</t>
  </si>
  <si>
    <t>briefcase</t>
  </si>
  <si>
    <t>maletín</t>
  </si>
  <si>
    <t>Bolsa o estuche estrecho y rígido con forma de caja que se utiliza para transportar papeles y otros documentos. Debe su nombre a los abogados que normalmente utilizaban este tipo de bolso para llevar escritos y presentarlos ante el tribunal. Está equipado con un asa. Los empresarios y otros profesionales también utilizan maletines para llevar papeles y, últimamente, también dispositivos electrónicos como ordenadores portátiles y tabletas. Sin embargo, también hay fundas para portátiles independientes, que están hechas de materiales mucho más blandos, pero proporcionan una protección resistente.</t>
  </si>
  <si>
    <t>cross-body</t>
  </si>
  <si>
    <t>El bolso cruzado es un tipo de bolso que tiene una correa larga para que se pueda llevar en diagonal sobre el cuerpo, con el bolso colgando de la cadera opuesta, en lugar de colgar directamente del hombro. Pero también se puede llevar al hombro. Puede ser de diferentes estilos, como un bolso cruzado o una alforja cruzada. Es una forma elegante y muy cómoda de llevar un bolso ya que permite tener las manos libres.</t>
  </si>
  <si>
    <t>saddlebag</t>
  </si>
  <si>
    <t>Con forma de silla de montar, puede tener motivos ecuestres y herrajes para enfatizar el diseño. Suele ser redondeado en la base y tiene cierre de solapa con asa larga para llevar al hombro o cruzado.</t>
  </si>
  <si>
    <t>Cuero.net</t>
  </si>
  <si>
    <t>https://biblioteca.org.ar/libros/cueros/glosariow.htm</t>
  </si>
  <si>
    <t>GLOSARIO DE TÉRMINOS UTILIZADOS EN EL ENSAMBLAJE DE MATERIALES
"UC0196_2: Ensamblar piezas de tejidos y laminados"
“UC0197_2: Ensamblar piezas de pieles y cueros”</t>
  </si>
  <si>
    <t>https://incual.educacion.gob.es/documents/20195/1873855/P_GLOSARIO_TCP070_2.pdf/380e73ca-0f84-4223-9469-50b89014715a</t>
  </si>
  <si>
    <t>Terminología del cuero</t>
  </si>
  <si>
    <t>https://www.manuel-dreesmann.com/es/blogs/information/leather-terminologies-the-ultimative-list</t>
  </si>
  <si>
    <t>Son aquellas operaciones que se realizan con el fin de devolver al cuero su flexibilidad y presentación, quitándoles la característica de cuero acartonado producido en el secado. Debido a la fuerza de cohesión ínter fibrilar, el cuero después del primer secado es duro y sin flexibilidad. Esta característica es menor cuanto mayor sea la cantidad de grasa utilizada en operación de engrase y comienza a notarse cuando el contenido de humedad del cuero es menor al 32%.
Después del primer secado, cuando el cuero queda con bajo contenido de humedad, si se lo quiere ablandar por medios mecánicos (palizón y mollisa), se producirán roturas en sus fibras produciendo por lo tanto cueros flojos y quebradizos. Para evitarlo, se humedecen los cueros, en más o menos 34% de humedad, se deja en reposo durante un determinado tiempo para que la misma se empareje y luego si se procede a ablandarlos. En este estado las fibras no se rompen al flexibilizarse. Luego se seca (ya sea vacum, toglin, etc.) hasta dejar al cuero con un 12-14% de humedad. Obtendremos así el cuero deseado (blando, semiblando, etc.)</t>
  </si>
  <si>
    <t>Glosario terminología piel y sus técnicas, por López Esclapez, María Belén</t>
  </si>
  <si>
    <t>Anexo: Técnicas de Tratamientos, acabados y ensamblajes para cuero y piel</t>
  </si>
  <si>
    <t>Este procedimiento se basa en que la dispersión del líquido se produce por la propia presión del mismo. Consta de una bomba que impulsa el líquido a través de una manguera, la que está conectada a una llave de paso con forma de pistola, la cual tiene picos. Las variaciones de caudal o de formas de abanico, se logra mediante el cambio de piscos sin accionar ningún mecanismo para tal fin. El soplete airless pulveriza en forma de chorro finamente dispersado, mientras que la pistola convencional lo hace en forma de niebla. Por este motivo el airless no es aconsejable para dar efecto anilina, puesto que la aplicación será despareja mientras que si es apropiado para acabados pastel, aplicación de lacas o para acabados fuertemente pigmentados. La aplicación de productos mediante atomizado sin aire tiene la ventaja de que no produce rebote sobre la superficie del cuero, con lo cual se evitan pérdidas de material por turbulencias.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</si>
</sst>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sz val="10"/>
      <color theme="1"/>
      <name val="Arial"/>
      <scheme val="minor"/>
    </font>
    <font>
      <sz val="11"/>
      <color theme="1"/>
      <name val="Arial"/>
      <scheme val="minor"/>
    </font>
    <font>
      <sz val="10"/>
      <color theme="1"/>
      <name val="Verdana"/>
    </font>
    <font>
      <b/>
      <u/>
      <sz val="11"/>
      <color theme="1"/>
      <name val="Verdana"/>
    </font>
    <font>
      <b/>
      <sz val="10"/>
      <color theme="1"/>
      <name val="Verdana"/>
    </font>
    <font>
      <b/>
      <u/>
      <sz val="10"/>
      <color theme="1"/>
      <name val="Verdana"/>
    </font>
    <font>
      <b/>
      <u/>
      <sz val="10"/>
      <color theme="1"/>
      <name val="Verdana"/>
    </font>
    <font>
      <u/>
      <sz val="11"/>
      <color rgb="FF0000FF"/>
      <name val="Arial"/>
    </font>
    <font>
      <u/>
      <sz val="10"/>
      <color rgb="FF0000FF"/>
      <name val="Arial"/>
    </font>
    <font>
      <sz val="10"/>
      <color theme="1"/>
      <name val="Arial"/>
      <family val="2"/>
      <scheme val="major"/>
    </font>
    <font>
      <sz val="10"/>
      <color rgb="FF000000"/>
      <name val="Arial"/>
      <family val="2"/>
      <scheme val="major"/>
    </font>
    <font>
      <sz val="10"/>
      <color rgb="FF545454"/>
      <name val="Arial"/>
      <family val="2"/>
      <scheme val="major"/>
    </font>
    <font>
      <sz val="10"/>
      <color rgb="FF222222"/>
      <name val="Arial"/>
      <family val="2"/>
      <scheme val="major"/>
    </font>
    <font>
      <b/>
      <sz val="10"/>
      <color rgb="FF000000"/>
      <name val="Arial"/>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applyFont="1" applyAlignment="1"/>
    <xf numFmtId="0" fontId="1" fillId="0" borderId="0" xfId="0" applyFont="1" applyAlignment="1">
      <alignment wrapText="1"/>
    </xf>
    <xf numFmtId="0" fontId="4" fillId="0" borderId="0" xfId="0" applyFont="1" applyAlignment="1"/>
    <xf numFmtId="0" fontId="3" fillId="0" borderId="0" xfId="0" applyFont="1" applyAlignment="1">
      <alignment wrapText="1"/>
    </xf>
    <xf numFmtId="0" fontId="5" fillId="0" borderId="0" xfId="0" applyFont="1" applyAlignment="1"/>
    <xf numFmtId="0" fontId="5" fillId="0" borderId="0" xfId="0" applyFont="1"/>
    <xf numFmtId="0" fontId="6" fillId="0" borderId="0" xfId="0" applyFont="1" applyAlignment="1"/>
    <xf numFmtId="0" fontId="3" fillId="0" borderId="0" xfId="0" applyFont="1" applyAlignment="1">
      <alignment wrapText="1"/>
    </xf>
    <xf numFmtId="0" fontId="7" fillId="0" borderId="0" xfId="0" applyFont="1"/>
    <xf numFmtId="0" fontId="1" fillId="0" borderId="0" xfId="0" applyFont="1" applyAlignment="1">
      <alignment wrapText="1"/>
    </xf>
    <xf numFmtId="0" fontId="1" fillId="0" borderId="0" xfId="0" applyFont="1" applyAlignment="1">
      <alignment vertical="top"/>
    </xf>
    <xf numFmtId="0" fontId="1" fillId="0" borderId="0" xfId="0" applyFont="1" applyAlignment="1">
      <alignment vertical="top" wrapText="1"/>
    </xf>
    <xf numFmtId="0" fontId="1" fillId="0" borderId="0" xfId="0" applyFont="1"/>
    <xf numFmtId="0" fontId="1" fillId="0" borderId="0" xfId="0" applyFont="1" applyAlignment="1">
      <alignment vertical="top"/>
    </xf>
    <xf numFmtId="0" fontId="1" fillId="0" borderId="0" xfId="0" applyFont="1" applyAlignment="1">
      <alignment vertical="top" wrapText="1"/>
    </xf>
    <xf numFmtId="0" fontId="8" fillId="0" borderId="0" xfId="0" applyFont="1" applyAlignment="1"/>
    <xf numFmtId="0" fontId="9" fillId="0" borderId="0" xfId="0" applyFont="1" applyAlignment="1"/>
    <xf numFmtId="0" fontId="2" fillId="0" borderId="0" xfId="0" applyFont="1" applyAlignment="1"/>
    <xf numFmtId="0" fontId="10" fillId="0" borderId="1" xfId="0" applyFont="1" applyBorder="1" applyAlignment="1">
      <alignment wrapText="1"/>
    </xf>
    <xf numFmtId="0" fontId="10" fillId="0" borderId="1" xfId="0" applyFont="1" applyBorder="1" applyAlignment="1">
      <alignment horizontal="left" wrapText="1"/>
    </xf>
    <xf numFmtId="0" fontId="11" fillId="0" borderId="1" xfId="0" applyFont="1" applyBorder="1" applyAlignment="1">
      <alignment wrapText="1"/>
    </xf>
    <xf numFmtId="0" fontId="12" fillId="2" borderId="1" xfId="0" applyFont="1" applyFill="1" applyBorder="1" applyAlignment="1">
      <alignment wrapText="1"/>
    </xf>
    <xf numFmtId="0" fontId="11" fillId="2" borderId="1" xfId="0" applyFont="1" applyFill="1" applyBorder="1" applyAlignment="1">
      <alignment wrapText="1"/>
    </xf>
    <xf numFmtId="0" fontId="13" fillId="2" borderId="1" xfId="0" applyFont="1" applyFill="1" applyBorder="1" applyAlignment="1">
      <alignment wrapText="1"/>
    </xf>
    <xf numFmtId="0" fontId="14"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g"/><Relationship Id="rId16" Type="http://schemas.openxmlformats.org/officeDocument/2006/relationships/image" Target="../media/image16.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19" Type="http://schemas.openxmlformats.org/officeDocument/2006/relationships/image" Target="../media/image19.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oneCellAnchor>
    <xdr:from>
      <xdr:col>3</xdr:col>
      <xdr:colOff>0</xdr:colOff>
      <xdr:row>2</xdr:row>
      <xdr:rowOff>0</xdr:rowOff>
    </xdr:from>
    <xdr:ext cx="1390650" cy="1438275"/>
    <xdr:pic>
      <xdr:nvPicPr>
        <xdr:cNvPr id="2" name="image8.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3</xdr:row>
      <xdr:rowOff>0</xdr:rowOff>
    </xdr:from>
    <xdr:ext cx="952500" cy="1438275"/>
    <xdr:pic>
      <xdr:nvPicPr>
        <xdr:cNvPr id="3" name="image1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4</xdr:row>
      <xdr:rowOff>0</xdr:rowOff>
    </xdr:from>
    <xdr:ext cx="1438275" cy="1438275"/>
    <xdr:pic>
      <xdr:nvPicPr>
        <xdr:cNvPr id="4" name="image17.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0</xdr:colOff>
      <xdr:row>5</xdr:row>
      <xdr:rowOff>0</xdr:rowOff>
    </xdr:from>
    <xdr:ext cx="1438275" cy="1438275"/>
    <xdr:pic>
      <xdr:nvPicPr>
        <xdr:cNvPr id="5" name="image1.jp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0</xdr:colOff>
      <xdr:row>6</xdr:row>
      <xdr:rowOff>0</xdr:rowOff>
    </xdr:from>
    <xdr:ext cx="1438275" cy="1438275"/>
    <xdr:pic>
      <xdr:nvPicPr>
        <xdr:cNvPr id="6" name="image13.jp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0</xdr:colOff>
      <xdr:row>7</xdr:row>
      <xdr:rowOff>0</xdr:rowOff>
    </xdr:from>
    <xdr:ext cx="1857375" cy="1228725"/>
    <xdr:pic>
      <xdr:nvPicPr>
        <xdr:cNvPr id="7" name="image18.jp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0</xdr:colOff>
      <xdr:row>8</xdr:row>
      <xdr:rowOff>0</xdr:rowOff>
    </xdr:from>
    <xdr:ext cx="1438275" cy="1438275"/>
    <xdr:pic>
      <xdr:nvPicPr>
        <xdr:cNvPr id="8" name="image11.jp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0</xdr:colOff>
      <xdr:row>9</xdr:row>
      <xdr:rowOff>0</xdr:rowOff>
    </xdr:from>
    <xdr:ext cx="1857375" cy="1162050"/>
    <xdr:pic>
      <xdr:nvPicPr>
        <xdr:cNvPr id="9" name="image7.jp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0</xdr:colOff>
      <xdr:row>10</xdr:row>
      <xdr:rowOff>0</xdr:rowOff>
    </xdr:from>
    <xdr:ext cx="1857375" cy="1323975"/>
    <xdr:pic>
      <xdr:nvPicPr>
        <xdr:cNvPr id="10" name="image3.jp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3</xdr:col>
      <xdr:colOff>0</xdr:colOff>
      <xdr:row>11</xdr:row>
      <xdr:rowOff>0</xdr:rowOff>
    </xdr:from>
    <xdr:ext cx="1438275" cy="1438275"/>
    <xdr:pic>
      <xdr:nvPicPr>
        <xdr:cNvPr id="11" name="image9.jp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0</xdr:colOff>
      <xdr:row>12</xdr:row>
      <xdr:rowOff>0</xdr:rowOff>
    </xdr:from>
    <xdr:ext cx="1438275" cy="1438275"/>
    <xdr:pic>
      <xdr:nvPicPr>
        <xdr:cNvPr id="12" name="image4.jp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3</xdr:col>
      <xdr:colOff>0</xdr:colOff>
      <xdr:row>13</xdr:row>
      <xdr:rowOff>0</xdr:rowOff>
    </xdr:from>
    <xdr:ext cx="1438275" cy="1438275"/>
    <xdr:pic>
      <xdr:nvPicPr>
        <xdr:cNvPr id="13" name="image19.jp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0</xdr:colOff>
      <xdr:row>14</xdr:row>
      <xdr:rowOff>0</xdr:rowOff>
    </xdr:from>
    <xdr:ext cx="952500" cy="1438275"/>
    <xdr:pic>
      <xdr:nvPicPr>
        <xdr:cNvPr id="14" name="image5.jp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0</xdr:colOff>
      <xdr:row>15</xdr:row>
      <xdr:rowOff>0</xdr:rowOff>
    </xdr:from>
    <xdr:ext cx="1438275" cy="1438275"/>
    <xdr:pic>
      <xdr:nvPicPr>
        <xdr:cNvPr id="15" name="image2.jp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3</xdr:col>
      <xdr:colOff>0</xdr:colOff>
      <xdr:row>16</xdr:row>
      <xdr:rowOff>0</xdr:rowOff>
    </xdr:from>
    <xdr:ext cx="1181100" cy="1438275"/>
    <xdr:pic>
      <xdr:nvPicPr>
        <xdr:cNvPr id="16" name="image12.jp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3</xdr:col>
      <xdr:colOff>0</xdr:colOff>
      <xdr:row>17</xdr:row>
      <xdr:rowOff>0</xdr:rowOff>
    </xdr:from>
    <xdr:ext cx="1438275" cy="1438275"/>
    <xdr:pic>
      <xdr:nvPicPr>
        <xdr:cNvPr id="17" name="image14.jp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0</xdr:colOff>
      <xdr:row>18</xdr:row>
      <xdr:rowOff>0</xdr:rowOff>
    </xdr:from>
    <xdr:ext cx="1438275" cy="1438275"/>
    <xdr:pic>
      <xdr:nvPicPr>
        <xdr:cNvPr id="18" name="image16.jp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3</xdr:col>
      <xdr:colOff>0</xdr:colOff>
      <xdr:row>19</xdr:row>
      <xdr:rowOff>0</xdr:rowOff>
    </xdr:from>
    <xdr:ext cx="1133475" cy="1438275"/>
    <xdr:pic>
      <xdr:nvPicPr>
        <xdr:cNvPr id="19" name="image10.jp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3</xdr:col>
      <xdr:colOff>0</xdr:colOff>
      <xdr:row>20</xdr:row>
      <xdr:rowOff>0</xdr:rowOff>
    </xdr:from>
    <xdr:ext cx="1266825" cy="1438275"/>
    <xdr:pic>
      <xdr:nvPicPr>
        <xdr:cNvPr id="20" name="image6.jp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incual.educacion.gob.es/documents/20195/1873855/P_GLOSARIO_TCP070_2.pdf/380e73ca-0f84-4223-9469-50b89014715a" TargetMode="External"/><Relationship Id="rId2" Type="http://schemas.openxmlformats.org/officeDocument/2006/relationships/hyperlink" Target="https://biblioteca.org.ar/libros/cueros/glosariow.htm" TargetMode="External"/><Relationship Id="rId1" Type="http://schemas.openxmlformats.org/officeDocument/2006/relationships/hyperlink" Target="http://cuero.net/" TargetMode="External"/><Relationship Id="rId4" Type="http://schemas.openxmlformats.org/officeDocument/2006/relationships/hyperlink" Target="https://www.manuel-dreesmann.com/es/blogs/information/leather-terminologies-the-ultimative-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1008"/>
  <sheetViews>
    <sheetView showGridLines="0" tabSelected="1" workbookViewId="0">
      <pane xSplit="2" ySplit="4" topLeftCell="C395" activePane="bottomRight" state="frozen"/>
      <selection pane="topRight" activeCell="C1" sqref="C1"/>
      <selection pane="bottomLeft" activeCell="A2" sqref="A2"/>
      <selection pane="bottomRight" activeCell="A258" sqref="A258:XFD258"/>
    </sheetView>
  </sheetViews>
  <sheetFormatPr baseColWidth="10" defaultColWidth="12.5703125" defaultRowHeight="15.75" customHeight="1" x14ac:dyDescent="0.2"/>
  <cols>
    <col min="1" max="1" width="16.5703125" customWidth="1"/>
    <col min="2" max="2" width="12.5703125" hidden="1" customWidth="1"/>
    <col min="3" max="3" width="47.85546875" customWidth="1"/>
    <col min="4" max="4" width="12" customWidth="1"/>
    <col min="5" max="5" width="12.140625" customWidth="1"/>
    <col min="6" max="6" width="11.85546875" customWidth="1"/>
  </cols>
  <sheetData>
    <row r="1" spans="1:7" ht="15.75" customHeight="1" x14ac:dyDescent="0.2">
      <c r="A1" s="24" t="s">
        <v>875</v>
      </c>
    </row>
    <row r="2" spans="1:7" ht="12" customHeight="1" x14ac:dyDescent="0.2">
      <c r="A2" s="24" t="s">
        <v>876</v>
      </c>
    </row>
    <row r="3" spans="1:7" ht="15.75" hidden="1" customHeight="1" x14ac:dyDescent="0.2"/>
    <row r="4" spans="1:7" ht="12.75" hidden="1" x14ac:dyDescent="0.2">
      <c r="A4" s="18" t="s">
        <v>0</v>
      </c>
      <c r="B4" s="18" t="s">
        <v>1</v>
      </c>
      <c r="C4" s="18" t="s">
        <v>2</v>
      </c>
      <c r="D4" s="18" t="s">
        <v>3</v>
      </c>
      <c r="E4" s="18" t="s">
        <v>4</v>
      </c>
      <c r="F4" s="18" t="s">
        <v>5</v>
      </c>
      <c r="G4" s="1"/>
    </row>
    <row r="5" spans="1:7" ht="49.5" customHeight="1" x14ac:dyDescent="0.2">
      <c r="A5" s="18" t="s">
        <v>6</v>
      </c>
      <c r="B5" s="18" t="s">
        <v>7</v>
      </c>
      <c r="C5" s="18" t="s">
        <v>8</v>
      </c>
      <c r="D5" s="18" t="str">
        <f ca="1">IFERROR(__xludf.DUMMYFUNCTION("GoogleTranslate(A2, ""es"", ""en"")"),"abbe")</f>
        <v>abbe</v>
      </c>
      <c r="E5" s="18" t="str">
        <f ca="1">IFERROR(__xludf.DUMMYFUNCTION("GoogleTranslate(A2, ""es"", ""fr"")"),"abbé")</f>
        <v>abbé</v>
      </c>
      <c r="F5" s="18" t="str">
        <f ca="1">IFERROR(__xludf.DUMMYFUNCTION("GoogleTranslate(A2, ""es"", ""de"")"),"Abbe")</f>
        <v>Abbe</v>
      </c>
      <c r="G5" s="1"/>
    </row>
    <row r="6" spans="1:7" ht="232.5" customHeight="1" x14ac:dyDescent="0.2">
      <c r="A6" s="18" t="s">
        <v>9</v>
      </c>
      <c r="B6" s="18" t="s">
        <v>7</v>
      </c>
      <c r="C6" s="18" t="s">
        <v>10</v>
      </c>
      <c r="D6" s="18" t="str">
        <f ca="1">IFERROR(__xludf.DUMMYFUNCTION("GoogleTranslate(A3, ""es"", ""en"")"),"softened")</f>
        <v>softened</v>
      </c>
      <c r="E6" s="18" t="str">
        <f ca="1">IFERROR(__xludf.DUMMYFUNCTION("GoogleTranslate(A3, ""es"", ""fr"")"),"adouci")</f>
        <v>adouci</v>
      </c>
      <c r="F6" s="18" t="str">
        <f ca="1">IFERROR(__xludf.DUMMYFUNCTION("GoogleTranslate(A3, ""es"", ""de"")"),"aufgeweicht")</f>
        <v>aufgeweicht</v>
      </c>
      <c r="G6" s="1"/>
    </row>
    <row r="7" spans="1:7" ht="66" customHeight="1" x14ac:dyDescent="0.2">
      <c r="A7" s="18" t="s">
        <v>11</v>
      </c>
      <c r="B7" s="18" t="s">
        <v>7</v>
      </c>
      <c r="C7" s="18" t="s">
        <v>12</v>
      </c>
      <c r="D7" s="18" t="str">
        <f ca="1">IFERROR(__xludf.DUMMYFUNCTION("GoogleTranslate(A4, ""es"", ""en"")"),"abrasion")</f>
        <v>abrasion</v>
      </c>
      <c r="E7" s="18" t="str">
        <f ca="1">IFERROR(__xludf.DUMMYFUNCTION("GoogleTranslate(A4, ""es"", ""fr"")"),"abrasion")</f>
        <v>abrasion</v>
      </c>
      <c r="F7" s="18" t="str">
        <f ca="1">IFERROR(__xludf.DUMMYFUNCTION("GoogleTranslate(A4, ""es"", ""de"")"),"Abrieb")</f>
        <v>Abrieb</v>
      </c>
      <c r="G7" s="1"/>
    </row>
    <row r="8" spans="1:7" ht="45.75" customHeight="1" x14ac:dyDescent="0.2">
      <c r="A8" s="18" t="s">
        <v>13</v>
      </c>
      <c r="B8" s="18" t="s">
        <v>7</v>
      </c>
      <c r="C8" s="18" t="s">
        <v>14</v>
      </c>
      <c r="D8" s="18" t="str">
        <f ca="1">IFERROR(__xludf.DUMMYFUNCTION("GoogleTranslate(A5, ""es"", ""en"")"),"polished")</f>
        <v>polished</v>
      </c>
      <c r="E8" s="18" t="str">
        <f ca="1">IFERROR(__xludf.DUMMYFUNCTION("GoogleTranslate(A5, ""es"", ""fr"")"),"brillant")</f>
        <v>brillant</v>
      </c>
      <c r="F8" s="18" t="str">
        <f ca="1">IFERROR(__xludf.DUMMYFUNCTION("GoogleTranslate(A5, ""es"", ""de"")"),"poliert")</f>
        <v>poliert</v>
      </c>
      <c r="G8" s="1"/>
    </row>
    <row r="9" spans="1:7" ht="43.5" customHeight="1" x14ac:dyDescent="0.2">
      <c r="A9" s="18" t="s">
        <v>15</v>
      </c>
      <c r="B9" s="18" t="s">
        <v>7</v>
      </c>
      <c r="C9" s="18" t="s">
        <v>16</v>
      </c>
      <c r="D9" s="18" t="str">
        <f ca="1">IFERROR(__xludf.DUMMYFUNCTION("GoogleTranslate(A6, ""es"", ""en"")"),"polished")</f>
        <v>polished</v>
      </c>
      <c r="E9" s="18" t="str">
        <f ca="1">IFERROR(__xludf.DUMMYFUNCTION("GoogleTranslate(A6, ""es"", ""fr"")"),"brillant")</f>
        <v>brillant</v>
      </c>
      <c r="F9" s="18" t="str">
        <f ca="1">IFERROR(__xludf.DUMMYFUNCTION("GoogleTranslate(A6, ""es"", ""de"")"),"poliert")</f>
        <v>poliert</v>
      </c>
      <c r="G9" s="1"/>
    </row>
    <row r="10" spans="1:7" ht="60.75" customHeight="1" x14ac:dyDescent="0.2">
      <c r="A10" s="18" t="s">
        <v>17</v>
      </c>
      <c r="B10" s="18" t="s">
        <v>7</v>
      </c>
      <c r="C10" s="18" t="s">
        <v>18</v>
      </c>
      <c r="D10" s="18" t="str">
        <f ca="1">IFERROR(__xludf.DUMMYFUNCTION("GoogleTranslate(A7, ""es"", ""en"")"),"absorption")</f>
        <v>absorption</v>
      </c>
      <c r="E10" s="18" t="str">
        <f ca="1">IFERROR(__xludf.DUMMYFUNCTION("GoogleTranslate(A7, ""es"", ""fr"")"),"absorption")</f>
        <v>absorption</v>
      </c>
      <c r="F10" s="18" t="str">
        <f ca="1">IFERROR(__xludf.DUMMYFUNCTION("GoogleTranslate(A7, ""es"", ""de"")"),"Absorption")</f>
        <v>Absorption</v>
      </c>
      <c r="G10" s="1"/>
    </row>
    <row r="11" spans="1:7" ht="184.5" customHeight="1" x14ac:dyDescent="0.2">
      <c r="A11" s="18" t="s">
        <v>19</v>
      </c>
      <c r="B11" s="18" t="s">
        <v>7</v>
      </c>
      <c r="C11" s="18" t="s">
        <v>20</v>
      </c>
      <c r="D11" s="18" t="str">
        <f ca="1">IFERROR(__xludf.DUMMYFUNCTION("GoogleTranslate(A8, ""es"", ""en"")"),"finish")</f>
        <v>finish</v>
      </c>
      <c r="E11" s="18" t="str">
        <f ca="1">IFERROR(__xludf.DUMMYFUNCTION("GoogleTranslate(A8, ""es"", ""fr"")"),"finition")</f>
        <v>finition</v>
      </c>
      <c r="F11" s="18" t="str">
        <f ca="1">IFERROR(__xludf.DUMMYFUNCTION("GoogleTranslate(A8, ""es"", ""de"")"),"beenden")</f>
        <v>beenden</v>
      </c>
      <c r="G11" s="1"/>
    </row>
    <row r="12" spans="1:7" ht="42" customHeight="1" x14ac:dyDescent="0.2">
      <c r="A12" s="18" t="s">
        <v>21</v>
      </c>
      <c r="B12" s="18" t="s">
        <v>7</v>
      </c>
      <c r="C12" s="18" t="s">
        <v>22</v>
      </c>
      <c r="D12" s="18" t="str">
        <f ca="1">IFERROR(__xludf.DUMMYFUNCTION("GoogleTranslate(A9, ""es"", ""en"")"),"water based finish")</f>
        <v>water based finish</v>
      </c>
      <c r="E12" s="18" t="str">
        <f ca="1">IFERROR(__xludf.DUMMYFUNCTION("GoogleTranslate(A9, ""es"", ""fr"")"),"finition à base d'eau")</f>
        <v>finition à base d'eau</v>
      </c>
      <c r="F12" s="18" t="str">
        <f ca="1">IFERROR(__xludf.DUMMYFUNCTION("GoogleTranslate(A9, ""es"", ""de"")"),"Finish auf Wasserbasis")</f>
        <v>Finish auf Wasserbasis</v>
      </c>
      <c r="G12" s="1"/>
    </row>
    <row r="13" spans="1:7" ht="94.5" customHeight="1" x14ac:dyDescent="0.2">
      <c r="A13" s="18" t="s">
        <v>23</v>
      </c>
      <c r="B13" s="18" t="s">
        <v>7</v>
      </c>
      <c r="C13" s="18" t="s">
        <v>24</v>
      </c>
      <c r="D13" s="18" t="str">
        <f ca="1">IFERROR(__xludf.DUMMYFUNCTION("GoogleTranslate(A10, ""es"", ""en"")"),"nitrocellulose-based finish")</f>
        <v>nitrocellulose-based finish</v>
      </c>
      <c r="E13" s="18" t="str">
        <f ca="1">IFERROR(__xludf.DUMMYFUNCTION("GoogleTranslate(A10, ""es"", ""fr"")"),"finition à base de nitrocellulose")</f>
        <v>finition à base de nitrocellulose</v>
      </c>
      <c r="F13" s="18" t="str">
        <f ca="1">IFERROR(__xludf.DUMMYFUNCTION("GoogleTranslate(A10, ""es"", ""de"")"),"Finish auf Nitrozellulosebasis")</f>
        <v>Finish auf Nitrozellulosebasis</v>
      </c>
      <c r="G13" s="1"/>
    </row>
    <row r="14" spans="1:7" ht="66.75" customHeight="1" x14ac:dyDescent="0.2">
      <c r="A14" s="18" t="s">
        <v>25</v>
      </c>
      <c r="B14" s="18" t="s">
        <v>7</v>
      </c>
      <c r="C14" s="18" t="s">
        <v>26</v>
      </c>
      <c r="D14" s="18" t="str">
        <f ca="1">IFERROR(__xludf.DUMMYFUNCTION("GoogleTranslate(A11, ""es"", ""en"")"),"aniline finish")</f>
        <v>aniline finish</v>
      </c>
      <c r="E14" s="18" t="str">
        <f ca="1">IFERROR(__xludf.DUMMYFUNCTION("GoogleTranslate(A11, ""es"", ""fr"")"),"finition aniline")</f>
        <v>finition aniline</v>
      </c>
      <c r="F14" s="18" t="str">
        <f ca="1">IFERROR(__xludf.DUMMYFUNCTION("GoogleTranslate(A11, ""es"", ""de"")"),"Anilin-Finish")</f>
        <v>Anilin-Finish</v>
      </c>
      <c r="G14" s="1"/>
    </row>
    <row r="15" spans="1:7" ht="71.25" customHeight="1" x14ac:dyDescent="0.2">
      <c r="A15" s="18" t="s">
        <v>27</v>
      </c>
      <c r="B15" s="18" t="s">
        <v>7</v>
      </c>
      <c r="C15" s="18" t="s">
        <v>28</v>
      </c>
      <c r="D15" s="18" t="str">
        <f ca="1">IFERROR(__xludf.DUMMYFUNCTION("GoogleTranslate(A12, ""es"", ""en"")"),"finished with final sizing")</f>
        <v>finished with final sizing</v>
      </c>
      <c r="E15" s="18" t="str">
        <f ca="1">IFERROR(__xludf.DUMMYFUNCTION("GoogleTranslate(A12, ""es"", ""fr"")"),"fini avec le dimensionnement final")</f>
        <v>fini avec le dimensionnement final</v>
      </c>
      <c r="F15" s="18" t="str">
        <f ca="1">IFERROR(__xludf.DUMMYFUNCTION("GoogleTranslate(A12, ""es"", ""de"")"),"fertig mit der endgültigen Dimensionierung")</f>
        <v>fertig mit der endgültigen Dimensionierung</v>
      </c>
      <c r="G15" s="1"/>
    </row>
    <row r="16" spans="1:7" ht="37.5" customHeight="1" x14ac:dyDescent="0.2">
      <c r="A16" s="18" t="s">
        <v>29</v>
      </c>
      <c r="B16" s="18" t="s">
        <v>7</v>
      </c>
      <c r="C16" s="18" t="s">
        <v>30</v>
      </c>
      <c r="D16" s="18" t="str">
        <f ca="1">IFERROR(__xludf.DUMMYFUNCTION("GoogleTranslate(A13, ""es"", ""en"")"),"pigment finish")</f>
        <v>pigment finish</v>
      </c>
      <c r="E16" s="18" t="str">
        <f ca="1">IFERROR(__xludf.DUMMYFUNCTION("GoogleTranslate(A13, ""es"", ""fr"")"),"finition pigmentée")</f>
        <v>finition pigmentée</v>
      </c>
      <c r="F16" s="18" t="str">
        <f ca="1">IFERROR(__xludf.DUMMYFUNCTION("GoogleTranslate(A13, ""es"", ""de"")"),"Pigment-Finish")</f>
        <v>Pigment-Finish</v>
      </c>
      <c r="G16" s="1"/>
    </row>
    <row r="17" spans="1:7" ht="47.25" customHeight="1" x14ac:dyDescent="0.2">
      <c r="A17" s="18" t="s">
        <v>31</v>
      </c>
      <c r="B17" s="18" t="s">
        <v>7</v>
      </c>
      <c r="C17" s="18" t="s">
        <v>32</v>
      </c>
      <c r="D17" s="18" t="str">
        <f ca="1">IFERROR(__xludf.DUMMYFUNCTION("GoogleTranslate(A14, ""es"", ""en"")"),"finished with resins")</f>
        <v>finished with resins</v>
      </c>
      <c r="E17" s="18" t="str">
        <f ca="1">IFERROR(__xludf.DUMMYFUNCTION("GoogleTranslate(A14, ""es"", ""fr"")"),"fini avec des résines")</f>
        <v>fini avec des résines</v>
      </c>
      <c r="F17" s="18" t="str">
        <f ca="1">IFERROR(__xludf.DUMMYFUNCTION("GoogleTranslate(A14, ""es"", ""de"")"),"mit Harzen veredelt")</f>
        <v>mit Harzen veredelt</v>
      </c>
      <c r="G17" s="1"/>
    </row>
    <row r="18" spans="1:7" ht="55.5" customHeight="1" x14ac:dyDescent="0.2">
      <c r="A18" s="18" t="s">
        <v>33</v>
      </c>
      <c r="B18" s="18" t="s">
        <v>7</v>
      </c>
      <c r="C18" s="18" t="s">
        <v>34</v>
      </c>
      <c r="D18" s="18" t="str">
        <f ca="1">IFERROR(__xludf.DUMMYFUNCTION("GoogleTranslate(A15, ""es"", ""en"")"),"faded finish")</f>
        <v>faded finish</v>
      </c>
      <c r="E18" s="18" t="str">
        <f ca="1">IFERROR(__xludf.DUMMYFUNCTION("GoogleTranslate(A15, ""es"", ""fr"")"),"finition délavée")</f>
        <v>finition délavée</v>
      </c>
      <c r="F18" s="18" t="str">
        <f ca="1">IFERROR(__xludf.DUMMYFUNCTION("GoogleTranslate(A15, ""es"", ""de"")"),"verblasstes Finish")</f>
        <v>verblasstes Finish</v>
      </c>
      <c r="G18" s="1"/>
    </row>
    <row r="19" spans="1:7" ht="52.5" customHeight="1" x14ac:dyDescent="0.2">
      <c r="A19" s="18" t="s">
        <v>35</v>
      </c>
      <c r="B19" s="18" t="s">
        <v>7</v>
      </c>
      <c r="C19" s="18" t="s">
        <v>36</v>
      </c>
      <c r="D19" s="18" t="str">
        <f ca="1">IFERROR(__xludf.DUMMYFUNCTION("GoogleTranslate(A16, ""es"", ""en"")"),"polishable finish")</f>
        <v>polishable finish</v>
      </c>
      <c r="E19" s="18" t="str">
        <f ca="1">IFERROR(__xludf.DUMMYFUNCTION("GoogleTranslate(A16, ""es"", ""fr"")"),"finition polissable")</f>
        <v>finition polissable</v>
      </c>
      <c r="F19" s="18" t="str">
        <f ca="1">IFERROR(__xludf.DUMMYFUNCTION("GoogleTranslate(A16, ""es"", ""de"")"),"polierbare Oberfläche")</f>
        <v>polierbare Oberfläche</v>
      </c>
      <c r="G19" s="1"/>
    </row>
    <row r="20" spans="1:7" ht="33.75" customHeight="1" x14ac:dyDescent="0.2">
      <c r="A20" s="18" t="s">
        <v>37</v>
      </c>
      <c r="B20" s="18" t="s">
        <v>7</v>
      </c>
      <c r="C20" s="18" t="s">
        <v>38</v>
      </c>
      <c r="D20" s="18" t="str">
        <f ca="1">IFERROR(__xludf.DUMMYFUNCTION("GoogleTranslate(A17, ""es"", ""en"")"),"matte finish")</f>
        <v>matte finish</v>
      </c>
      <c r="E20" s="18" t="str">
        <f ca="1">IFERROR(__xludf.DUMMYFUNCTION("GoogleTranslate(A17, ""es"", ""fr"")"),"finition mate")</f>
        <v>finition mate</v>
      </c>
      <c r="F20" s="18" t="str">
        <f ca="1">IFERROR(__xludf.DUMMYFUNCTION("GoogleTranslate(A17, ""es"", ""de"")"),"mattes Finish")</f>
        <v>mattes Finish</v>
      </c>
      <c r="G20" s="1"/>
    </row>
    <row r="21" spans="1:7" ht="136.5" customHeight="1" x14ac:dyDescent="0.2">
      <c r="A21" s="18" t="s">
        <v>39</v>
      </c>
      <c r="B21" s="18" t="s">
        <v>7</v>
      </c>
      <c r="C21" s="18" t="s">
        <v>40</v>
      </c>
      <c r="D21" s="18" t="str">
        <f ca="1">IFERROR(__xludf.DUMMYFUNCTION("GoogleTranslate(A18, ""es"", ""en"")"),"plastic finish")</f>
        <v>plastic finish</v>
      </c>
      <c r="E21" s="18" t="str">
        <f ca="1">IFERROR(__xludf.DUMMYFUNCTION("GoogleTranslate(A18, ""es"", ""fr"")"),"finition plastique")</f>
        <v>finition plastique</v>
      </c>
      <c r="F21" s="18" t="str">
        <f ca="1">IFERROR(__xludf.DUMMYFUNCTION("GoogleTranslate(A18, ""es"", ""de"")"),"Kunststoffoberfläche")</f>
        <v>Kunststoffoberfläche</v>
      </c>
      <c r="G21" s="1"/>
    </row>
    <row r="22" spans="1:7" ht="45" customHeight="1" x14ac:dyDescent="0.2">
      <c r="A22" s="18" t="s">
        <v>41</v>
      </c>
      <c r="B22" s="18" t="s">
        <v>7</v>
      </c>
      <c r="C22" s="18" t="s">
        <v>42</v>
      </c>
      <c r="D22" s="18" t="str">
        <f ca="1">IFERROR(__xludf.DUMMYFUNCTION("GoogleTranslate(A19, ""es"", ""en"")"),"finished by the flower")</f>
        <v>finished by the flower</v>
      </c>
      <c r="E22" s="18" t="str">
        <f ca="1">IFERROR(__xludf.DUMMYFUNCTION("GoogleTranslate(A19, ""es"", ""fr"")"),"fini par la fleur")</f>
        <v>fini par la fleur</v>
      </c>
      <c r="F22" s="18" t="str">
        <f ca="1">IFERROR(__xludf.DUMMYFUNCTION("GoogleTranslate(A19, ""es"", ""de"")"),"fertig mit der Blume")</f>
        <v>fertig mit der Blume</v>
      </c>
      <c r="G22" s="1"/>
    </row>
    <row r="23" spans="1:7" ht="44.25" customHeight="1" x14ac:dyDescent="0.2">
      <c r="A23" s="18" t="s">
        <v>43</v>
      </c>
      <c r="B23" s="18" t="s">
        <v>7</v>
      </c>
      <c r="C23" s="18" t="s">
        <v>44</v>
      </c>
      <c r="D23" s="18" t="str">
        <f ca="1">IFERROR(__xludf.DUMMYFUNCTION("GoogleTranslate(A20, ""es"", ""en"")"),"semi-aniline finish")</f>
        <v>semi-aniline finish</v>
      </c>
      <c r="E23" s="18" t="str">
        <f ca="1">IFERROR(__xludf.DUMMYFUNCTION("GoogleTranslate(A20, ""es"", ""fr"")"),"finition semi-aniline")</f>
        <v>finition semi-aniline</v>
      </c>
      <c r="F23" s="18" t="str">
        <f ca="1">IFERROR(__xludf.DUMMYFUNCTION("GoogleTranslate(A20, ""es"", ""de"")"),"Semi-Anilin-Finish")</f>
        <v>Semi-Anilin-Finish</v>
      </c>
      <c r="G23" s="1"/>
    </row>
    <row r="24" spans="1:7" ht="201.75" customHeight="1" x14ac:dyDescent="0.2">
      <c r="A24" s="18" t="s">
        <v>45</v>
      </c>
      <c r="B24" s="18" t="s">
        <v>46</v>
      </c>
      <c r="C24" s="18" t="s">
        <v>47</v>
      </c>
      <c r="D24" s="18" t="str">
        <f ca="1">IFERROR(__xludf.DUMMYFUNCTION("GoogleTranslate(A21, ""es"", ""en"")"),"acacia")</f>
        <v>acacia</v>
      </c>
      <c r="E24" s="18" t="str">
        <f ca="1">IFERROR(__xludf.DUMMYFUNCTION("GoogleTranslate(A21, ""es"", ""fr"")"),"acacia")</f>
        <v>acacia</v>
      </c>
      <c r="F24" s="18" t="str">
        <f ca="1">IFERROR(__xludf.DUMMYFUNCTION("GoogleTranslate(A21, ""es"", ""de"")"),"Akazie")</f>
        <v>Akazie</v>
      </c>
      <c r="G24" s="1"/>
    </row>
    <row r="25" spans="1:7" ht="96" customHeight="1" x14ac:dyDescent="0.2">
      <c r="A25" s="18" t="s">
        <v>48</v>
      </c>
      <c r="B25" s="18" t="s">
        <v>46</v>
      </c>
      <c r="C25" s="18" t="s">
        <v>49</v>
      </c>
      <c r="D25" s="18" t="str">
        <f ca="1">IFERROR(__xludf.DUMMYFUNCTION("GoogleTranslate(A22, ""es"", ""en"")"),"sodium acetate")</f>
        <v>sodium acetate</v>
      </c>
      <c r="E25" s="18" t="str">
        <f ca="1">IFERROR(__xludf.DUMMYFUNCTION("GoogleTranslate(A22, ""es"", ""fr"")"),"l'acétate de sodium")</f>
        <v>l'acétate de sodium</v>
      </c>
      <c r="F25" s="18" t="str">
        <f ca="1">IFERROR(__xludf.DUMMYFUNCTION("GoogleTranslate(A22, ""es"", ""de"")"),"Natriumacetat")</f>
        <v>Natriumacetat</v>
      </c>
      <c r="G25" s="1"/>
    </row>
    <row r="26" spans="1:7" ht="146.25" customHeight="1" x14ac:dyDescent="0.2">
      <c r="A26" s="18" t="s">
        <v>50</v>
      </c>
      <c r="B26" s="18" t="s">
        <v>46</v>
      </c>
      <c r="C26" s="18" t="s">
        <v>51</v>
      </c>
      <c r="D26" s="18" t="str">
        <f ca="1">IFERROR(__xludf.DUMMYFUNCTION("GoogleTranslate(A23, ""es"", ""en"")"),"acetone")</f>
        <v>acetone</v>
      </c>
      <c r="E26" s="18" t="str">
        <f ca="1">IFERROR(__xludf.DUMMYFUNCTION("GoogleTranslate(A23, ""es"", ""fr"")"),"acétone")</f>
        <v>acétone</v>
      </c>
      <c r="F26" s="18" t="str">
        <f ca="1">IFERROR(__xludf.DUMMYFUNCTION("GoogleTranslate(A23, ""es"", ""de"")"),"Aceton")</f>
        <v>Aceton</v>
      </c>
      <c r="G26" s="1"/>
    </row>
    <row r="27" spans="1:7" ht="216.75" customHeight="1" x14ac:dyDescent="0.2">
      <c r="A27" s="18" t="s">
        <v>52</v>
      </c>
      <c r="B27" s="18" t="s">
        <v>46</v>
      </c>
      <c r="C27" s="18" t="s">
        <v>53</v>
      </c>
      <c r="D27" s="18" t="str">
        <f ca="1">IFERROR(__xludf.DUMMYFUNCTION("GoogleTranslate(A24, ""es"", ""en"")"),"acid")</f>
        <v>acid</v>
      </c>
      <c r="E27" s="18" t="str">
        <f ca="1">IFERROR(__xludf.DUMMYFUNCTION("GoogleTranslate(A24, ""es"", ""fr"")"),"acide")</f>
        <v>acide</v>
      </c>
      <c r="F27" s="18" t="str">
        <f ca="1">IFERROR(__xludf.DUMMYFUNCTION("GoogleTranslate(A24, ""es"", ""de"")"),"Säure")</f>
        <v>Säure</v>
      </c>
      <c r="G27" s="1"/>
    </row>
    <row r="28" spans="1:7" ht="108.75" customHeight="1" x14ac:dyDescent="0.2">
      <c r="A28" s="18" t="s">
        <v>54</v>
      </c>
      <c r="B28" s="18" t="s">
        <v>46</v>
      </c>
      <c r="C28" s="18" t="s">
        <v>55</v>
      </c>
      <c r="D28" s="18" t="str">
        <f ca="1">IFERROR(__xludf.DUMMYFUNCTION("GoogleTranslate(A25, ""es"", ""en"")"),"acetic acid")</f>
        <v>acetic acid</v>
      </c>
      <c r="E28" s="18" t="str">
        <f ca="1">IFERROR(__xludf.DUMMYFUNCTION("GoogleTranslate(A25, ""es"", ""fr"")"),"acide acétique")</f>
        <v>acide acétique</v>
      </c>
      <c r="F28" s="18" t="str">
        <f ca="1">IFERROR(__xludf.DUMMYFUNCTION("GoogleTranslate(A25, ""es"", ""de"")"),"Essigsäure")</f>
        <v>Essigsäure</v>
      </c>
      <c r="G28" s="1"/>
    </row>
    <row r="29" spans="1:7" ht="63.75" customHeight="1" x14ac:dyDescent="0.2">
      <c r="A29" s="18" t="s">
        <v>56</v>
      </c>
      <c r="B29" s="18" t="s">
        <v>46</v>
      </c>
      <c r="C29" s="18" t="s">
        <v>57</v>
      </c>
      <c r="D29" s="18" t="str">
        <f ca="1">IFERROR(__xludf.DUMMYFUNCTION("GoogleTranslate(A26, ""es"", ""en"")"),"carboxylic acid")</f>
        <v>carboxylic acid</v>
      </c>
      <c r="E29" s="18" t="str">
        <f ca="1">IFERROR(__xludf.DUMMYFUNCTION("GoogleTranslate(A26, ""es"", ""fr"")"),"acide carboxylique")</f>
        <v>acide carboxylique</v>
      </c>
      <c r="F29" s="18" t="str">
        <f ca="1">IFERROR(__xludf.DUMMYFUNCTION("GoogleTranslate(A26, ""es"", ""de"")"),"Carbonsäure")</f>
        <v>Carbonsäure</v>
      </c>
      <c r="G29" s="1"/>
    </row>
    <row r="30" spans="1:7" ht="141" customHeight="1" x14ac:dyDescent="0.2">
      <c r="A30" s="18" t="s">
        <v>58</v>
      </c>
      <c r="B30" s="18" t="s">
        <v>46</v>
      </c>
      <c r="C30" s="18" t="s">
        <v>59</v>
      </c>
      <c r="D30" s="18" t="str">
        <f ca="1">IFERROR(__xludf.DUMMYFUNCTION("GoogleTranslate(A27, ""es"", ""en"")"),"hydrochloric acid")</f>
        <v>hydrochloric acid</v>
      </c>
      <c r="E30" s="18" t="str">
        <f ca="1">IFERROR(__xludf.DUMMYFUNCTION("GoogleTranslate(A27, ""es"", ""fr"")"),"acide chlorhydrique")</f>
        <v>acide chlorhydrique</v>
      </c>
      <c r="F30" s="18" t="str">
        <f ca="1">IFERROR(__xludf.DUMMYFUNCTION("GoogleTranslate(A27, ""es"", ""de"")"),"Salzsäure")</f>
        <v>Salzsäure</v>
      </c>
      <c r="G30" s="1"/>
    </row>
    <row r="31" spans="1:7" ht="185.25" customHeight="1" x14ac:dyDescent="0.2">
      <c r="A31" s="18" t="s">
        <v>60</v>
      </c>
      <c r="B31" s="18" t="s">
        <v>46</v>
      </c>
      <c r="C31" s="18" t="s">
        <v>61</v>
      </c>
      <c r="D31" s="18" t="str">
        <f ca="1">IFERROR(__xludf.DUMMYFUNCTION("GoogleTranslate(A28, ""es"", ""en"")"),"chromic acid")</f>
        <v>chromic acid</v>
      </c>
      <c r="E31" s="18" t="str">
        <f ca="1">IFERROR(__xludf.DUMMYFUNCTION("GoogleTranslate(A28, ""es"", ""fr"")"),"acide chromique")</f>
        <v>acide chromique</v>
      </c>
      <c r="F31" s="18" t="str">
        <f ca="1">IFERROR(__xludf.DUMMYFUNCTION("GoogleTranslate(A28, ""es"", ""de"")"),"Chromsäure")</f>
        <v>Chromsäure</v>
      </c>
      <c r="G31" s="1"/>
    </row>
    <row r="32" spans="1:7" ht="162.75" customHeight="1" x14ac:dyDescent="0.2">
      <c r="A32" s="18" t="s">
        <v>62</v>
      </c>
      <c r="B32" s="18" t="s">
        <v>46</v>
      </c>
      <c r="C32" s="18" t="s">
        <v>63</v>
      </c>
      <c r="D32" s="18" t="str">
        <f ca="1">IFERROR(__xludf.DUMMYFUNCTION("GoogleTranslate(A29, ""es"", ""en"")"),"formic acid")</f>
        <v>formic acid</v>
      </c>
      <c r="E32" s="18" t="str">
        <f ca="1">IFERROR(__xludf.DUMMYFUNCTION("GoogleTranslate(A29, ""es"", ""fr"")"),"acide formique")</f>
        <v>acide formique</v>
      </c>
      <c r="F32" s="18" t="str">
        <f ca="1">IFERROR(__xludf.DUMMYFUNCTION("GoogleTranslate(A29, ""es"", ""de"")"),"Ameisensäure")</f>
        <v>Ameisensäure</v>
      </c>
      <c r="G32" s="1"/>
    </row>
    <row r="33" spans="1:7" ht="276.75" customHeight="1" x14ac:dyDescent="0.2">
      <c r="A33" s="18" t="s">
        <v>64</v>
      </c>
      <c r="B33" s="18" t="s">
        <v>7</v>
      </c>
      <c r="C33" s="18" t="s">
        <v>874</v>
      </c>
      <c r="D33" s="18" t="str">
        <f ca="1">IFERROR(__xludf.DUMMYFUNCTION("GoogleTranslate(A30, ""es"", ""en"")"),"leather conditioning")</f>
        <v>leather conditioning</v>
      </c>
      <c r="E33" s="18" t="str">
        <f ca="1">IFERROR(__xludf.DUMMYFUNCTION("GoogleTranslate(A30, ""es"", ""fr"")"),"conditionnement du cuir")</f>
        <v>conditionnement du cuir</v>
      </c>
      <c r="F33" s="18" t="str">
        <f ca="1">IFERROR(__xludf.DUMMYFUNCTION("GoogleTranslate(A30, ""es"", ""de"")"),"Lederkonditionierung")</f>
        <v>Lederkonditionierung</v>
      </c>
      <c r="G33" s="1"/>
    </row>
    <row r="34" spans="1:7" ht="73.5" customHeight="1" x14ac:dyDescent="0.2">
      <c r="A34" s="18" t="s">
        <v>65</v>
      </c>
      <c r="B34" s="18" t="s">
        <v>7</v>
      </c>
      <c r="C34" s="18" t="s">
        <v>66</v>
      </c>
      <c r="D34" s="18" t="str">
        <f ca="1">IFERROR(__xludf.DUMMYFUNCTION("GoogleTranslate(A31, ""es"", ""en"")"),"pickled")</f>
        <v>pickled</v>
      </c>
      <c r="E34" s="18" t="str">
        <f ca="1">IFERROR(__xludf.DUMMYFUNCTION("GoogleTranslate(A31, ""es"", ""fr"")"),"mariné")</f>
        <v>mariné</v>
      </c>
      <c r="F34" s="18" t="str">
        <f ca="1">IFERROR(__xludf.DUMMYFUNCTION("GoogleTranslate(A31, ""es"", ""de"")"),"eingelegt")</f>
        <v>eingelegt</v>
      </c>
      <c r="G34" s="1"/>
    </row>
    <row r="35" spans="1:7" ht="126" customHeight="1" x14ac:dyDescent="0.2">
      <c r="A35" s="18" t="s">
        <v>67</v>
      </c>
      <c r="B35" s="18" t="s">
        <v>7</v>
      </c>
      <c r="C35" s="18" t="s">
        <v>68</v>
      </c>
      <c r="D35" s="18" t="str">
        <f ca="1">IFERROR(__xludf.DUMMYFUNCTION("GoogleTranslate(A32, ""es"", ""en"")"),"plush")</f>
        <v>plush</v>
      </c>
      <c r="E35" s="18" t="str">
        <f ca="1">IFERROR(__xludf.DUMMYFUNCTION("GoogleTranslate(A32, ""es"", ""fr"")"),"peluche")</f>
        <v>peluche</v>
      </c>
      <c r="F35" s="18" t="str">
        <f ca="1">IFERROR(__xludf.DUMMYFUNCTION("GoogleTranslate(A32, ""es"", ""de"")"),"Plüsch")</f>
        <v>Plüsch</v>
      </c>
      <c r="G35" s="1"/>
    </row>
    <row r="36" spans="1:7" ht="50.25" customHeight="1" x14ac:dyDescent="0.2">
      <c r="A36" s="18" t="s">
        <v>69</v>
      </c>
      <c r="B36" s="18" t="s">
        <v>70</v>
      </c>
      <c r="C36" s="18" t="s">
        <v>71</v>
      </c>
      <c r="D36" s="18" t="s">
        <v>72</v>
      </c>
      <c r="E36" s="18" t="str">
        <f ca="1">IFERROR(__xludf.DUMMYFUNCTION("GoogleTranslate(A33, ""es"", ""fr"")"),"peluche pour chaussures")</f>
        <v>peluche pour chaussures</v>
      </c>
      <c r="F36" s="18" t="str">
        <f ca="1">IFERROR(__xludf.DUMMYFUNCTION("GoogleTranslate(A33, ""es"", ""de"")"),"Plüsch für Schuhe")</f>
        <v>Plüsch für Schuhe</v>
      </c>
      <c r="G36" s="1"/>
    </row>
    <row r="37" spans="1:7" ht="99" customHeight="1" x14ac:dyDescent="0.2">
      <c r="A37" s="18" t="s">
        <v>73</v>
      </c>
      <c r="B37" s="18" t="s">
        <v>46</v>
      </c>
      <c r="C37" s="18" t="s">
        <v>74</v>
      </c>
      <c r="D37" s="18" t="str">
        <f ca="1">IFERROR(__xludf.DUMMYFUNCTION("GoogleTranslate(A34, ""es"", ""en"")"),"touch agents")</f>
        <v>touch agents</v>
      </c>
      <c r="E37" s="18" t="str">
        <f ca="1">IFERROR(__xludf.DUMMYFUNCTION("GoogleTranslate(A34, ""es"", ""fr"")"),"agents tactiles")</f>
        <v>agents tactiles</v>
      </c>
      <c r="F37" s="18" t="str">
        <f ca="1">IFERROR(__xludf.DUMMYFUNCTION("GoogleTranslate(A34, ""es"", ""de"")"),"Touch-Agenten")</f>
        <v>Touch-Agenten</v>
      </c>
      <c r="G37" s="1"/>
    </row>
    <row r="38" spans="1:7" ht="72.75" customHeight="1" x14ac:dyDescent="0.2">
      <c r="A38" s="18" t="s">
        <v>75</v>
      </c>
      <c r="B38" s="18" t="s">
        <v>70</v>
      </c>
      <c r="C38" s="18" t="s">
        <v>76</v>
      </c>
      <c r="D38" s="18" t="str">
        <f ca="1">IFERROR(__xludf.DUMMYFUNCTION("GoogleTranslate(A35, ""es"", ""en"")"),"foal's haunch")</f>
        <v>foal's haunch</v>
      </c>
      <c r="E38" s="18" t="str">
        <f ca="1">IFERROR(__xludf.DUMMYFUNCTION("GoogleTranslate(A35, ""es"", ""fr"")"),"cuissard de poulain")</f>
        <v>cuissard de poulain</v>
      </c>
      <c r="F38" s="18" t="str">
        <f ca="1">IFERROR(__xludf.DUMMYFUNCTION("GoogleTranslate(A35, ""es"", ""de"")"),"Fohlenkeule")</f>
        <v>Fohlenkeule</v>
      </c>
      <c r="G38" s="1"/>
    </row>
    <row r="39" spans="1:7" ht="59.25" customHeight="1" x14ac:dyDescent="0.2">
      <c r="A39" s="18" t="s">
        <v>77</v>
      </c>
      <c r="B39" s="18" t="s">
        <v>70</v>
      </c>
      <c r="C39" s="18" t="s">
        <v>78</v>
      </c>
      <c r="D39" s="18" t="str">
        <f ca="1">IFERROR(__xludf.DUMMYFUNCTION("GoogleTranslate(A36, ""es"", ""en"")"),"ancon")</f>
        <v>ancon</v>
      </c>
      <c r="E39" s="18" t="str">
        <f ca="1">IFERROR(__xludf.DUMMYFUNCTION("GoogleTranslate(A36, ""es"", ""fr"")"),"ancon")</f>
        <v>ancon</v>
      </c>
      <c r="F39" s="18" t="str">
        <f ca="1">IFERROR(__xludf.DUMMYFUNCTION("GoogleTranslate(A36, ""es"", ""de"")"),"ancon")</f>
        <v>ancon</v>
      </c>
      <c r="G39" s="1"/>
    </row>
    <row r="40" spans="1:7" ht="132" customHeight="1" x14ac:dyDescent="0.2">
      <c r="A40" s="18" t="s">
        <v>79</v>
      </c>
      <c r="B40" s="18" t="s">
        <v>46</v>
      </c>
      <c r="C40" s="18" t="s">
        <v>80</v>
      </c>
      <c r="D40" s="18" t="str">
        <f ca="1">IFERROR(__xludf.DUMMYFUNCTION("GoogleTranslate(A37, ""es"", ""en"")"),"aniline")</f>
        <v>aniline</v>
      </c>
      <c r="E40" s="18" t="str">
        <f ca="1">IFERROR(__xludf.DUMMYFUNCTION("GoogleTranslate(A37, ""es"", ""fr"")"),"aniline")</f>
        <v>aniline</v>
      </c>
      <c r="F40" s="18" t="str">
        <f ca="1">IFERROR(__xludf.DUMMYFUNCTION("GoogleTranslate(A37, ""es"", ""de"")"),"Anilin")</f>
        <v>Anilin</v>
      </c>
      <c r="G40" s="1"/>
    </row>
    <row r="41" spans="1:7" ht="38.25" customHeight="1" x14ac:dyDescent="0.2">
      <c r="A41" s="18" t="s">
        <v>81</v>
      </c>
      <c r="B41" s="18" t="s">
        <v>70</v>
      </c>
      <c r="C41" s="18" t="s">
        <v>82</v>
      </c>
      <c r="D41" s="18" t="s">
        <v>83</v>
      </c>
      <c r="E41" s="18" t="s">
        <v>84</v>
      </c>
      <c r="F41" s="19" t="s">
        <v>85</v>
      </c>
      <c r="G41" s="1"/>
    </row>
    <row r="42" spans="1:7" ht="63.75" customHeight="1" x14ac:dyDescent="0.2">
      <c r="A42" s="18" t="s">
        <v>86</v>
      </c>
      <c r="B42" s="18" t="s">
        <v>70</v>
      </c>
      <c r="C42" s="18" t="s">
        <v>87</v>
      </c>
      <c r="D42" s="18"/>
      <c r="E42" s="18"/>
      <c r="F42" s="18"/>
      <c r="G42" s="1"/>
    </row>
    <row r="43" spans="1:7" ht="48" customHeight="1" x14ac:dyDescent="0.2">
      <c r="A43" s="18" t="s">
        <v>88</v>
      </c>
      <c r="B43" s="18" t="s">
        <v>70</v>
      </c>
      <c r="C43" s="18" t="s">
        <v>89</v>
      </c>
      <c r="D43" s="18"/>
      <c r="E43" s="18"/>
      <c r="F43" s="18"/>
      <c r="G43" s="1"/>
    </row>
    <row r="44" spans="1:7" ht="39.75" customHeight="1" x14ac:dyDescent="0.2">
      <c r="A44" s="18" t="s">
        <v>90</v>
      </c>
      <c r="B44" s="18" t="s">
        <v>70</v>
      </c>
      <c r="C44" s="18" t="s">
        <v>91</v>
      </c>
      <c r="D44" s="18" t="str">
        <f ca="1">IFERROR(__xludf.DUMMYFUNCTION("GoogleTranslate(A41, ""es"", ""en"")"),"antelope (antelope)")</f>
        <v>antelope (antelope)</v>
      </c>
      <c r="E44" s="18" t="str">
        <f ca="1">IFERROR(__xludf.DUMMYFUNCTION("GoogleTranslate(A41, ""es"", ""fr"")"),"antilope (antilope)")</f>
        <v>antilope (antilope)</v>
      </c>
      <c r="F44" s="18" t="str">
        <f ca="1">IFERROR(__xludf.DUMMYFUNCTION("GoogleTranslate(A41, ""es"", ""de"")"),"Antilope (Antilope)")</f>
        <v>Antilope (Antilope)</v>
      </c>
      <c r="G44" s="1"/>
    </row>
    <row r="45" spans="1:7" ht="83.25" customHeight="1" x14ac:dyDescent="0.2">
      <c r="A45" s="18" t="s">
        <v>92</v>
      </c>
      <c r="B45" s="18" t="s">
        <v>70</v>
      </c>
      <c r="C45" s="18" t="s">
        <v>93</v>
      </c>
      <c r="D45" s="18" t="str">
        <f ca="1">IFERROR(__xludf.DUMMYFUNCTION("GoogleTranslate(A42, ""es"", ""en"")"),"ASA-Leder")</f>
        <v>ASA-Leder</v>
      </c>
      <c r="E45" s="18" t="str">
        <f ca="1">IFERROR(__xludf.DUMMYFUNCTION("GoogleTranslate(A42, ""es"", ""fr"")"),"ASA-Leder")</f>
        <v>ASA-Leder</v>
      </c>
      <c r="F45" s="18" t="str">
        <f ca="1">IFERROR(__xludf.DUMMYFUNCTION("GoogleTranslate(A42, ""es"", ""de"")"),"ASA-Leder")</f>
        <v>ASA-Leder</v>
      </c>
      <c r="G45" s="1"/>
    </row>
    <row r="46" spans="1:7" ht="52.5" customHeight="1" x14ac:dyDescent="0.2">
      <c r="A46" s="18" t="s">
        <v>94</v>
      </c>
      <c r="B46" s="18" t="s">
        <v>46</v>
      </c>
      <c r="C46" s="18" t="s">
        <v>95</v>
      </c>
      <c r="D46" s="18" t="str">
        <f ca="1">IFERROR(__xludf.DUMMYFUNCTION("GoogleTranslate(A43, ""es"", ""en"")"),"auxiliaries")</f>
        <v>auxiliaries</v>
      </c>
      <c r="E46" s="18" t="str">
        <f ca="1">IFERROR(__xludf.DUMMYFUNCTION("GoogleTranslate(A43, ""es"", ""fr"")"),"auxiliaires")</f>
        <v>auxiliaires</v>
      </c>
      <c r="F46" s="18" t="str">
        <f ca="1">IFERROR(__xludf.DUMMYFUNCTION("GoogleTranslate(A43, ""es"", ""de"")"),"Hilfsmittel")</f>
        <v>Hilfsmittel</v>
      </c>
      <c r="G46" s="1"/>
    </row>
    <row r="47" spans="1:7" ht="75.75" customHeight="1" x14ac:dyDescent="0.2">
      <c r="A47" s="18" t="s">
        <v>96</v>
      </c>
      <c r="B47" s="18" t="s">
        <v>70</v>
      </c>
      <c r="C47" s="18" t="s">
        <v>97</v>
      </c>
      <c r="D47" s="18" t="str">
        <f ca="1">IFERROR(__xludf.DUMMYFUNCTION("GoogleTranslate(A44, ""es"", ""en"")"),"baby-calf")</f>
        <v>baby-calf</v>
      </c>
      <c r="E47" s="18" t="str">
        <f ca="1">IFERROR(__xludf.DUMMYFUNCTION("GoogleTranslate(A44, ""es"", ""fr"")"),"bébé-veau")</f>
        <v>bébé-veau</v>
      </c>
      <c r="F47" s="18" t="str">
        <f ca="1">IFERROR(__xludf.DUMMYFUNCTION("GoogleTranslate(A44, ""es"", ""de"")"),"Babykalb")</f>
        <v>Babykalb</v>
      </c>
      <c r="G47" s="1"/>
    </row>
    <row r="48" spans="1:7" ht="166.5" customHeight="1" x14ac:dyDescent="0.2">
      <c r="A48" s="18" t="s">
        <v>98</v>
      </c>
      <c r="B48" s="18"/>
      <c r="C48" s="18" t="s">
        <v>99</v>
      </c>
      <c r="D48" s="18" t="str">
        <f ca="1">IFERROR(__xludf.DUMMYFUNCTION("GoogleTranslate(A45, ""es"", ""en"")"),"bacterium")</f>
        <v>bacterium</v>
      </c>
      <c r="E48" s="18" t="str">
        <f ca="1">IFERROR(__xludf.DUMMYFUNCTION("GoogleTranslate(A45, ""es"", ""fr"")"),"bactérie")</f>
        <v>bactérie</v>
      </c>
      <c r="F48" s="18" t="str">
        <f ca="1">IFERROR(__xludf.DUMMYFUNCTION("GoogleTranslate(A45, ""es"", ""de"")"),"Bakterium")</f>
        <v>Bakterium</v>
      </c>
      <c r="G48" s="1"/>
    </row>
    <row r="49" spans="1:8" ht="53.25" customHeight="1" x14ac:dyDescent="0.2">
      <c r="A49" s="18" t="s">
        <v>100</v>
      </c>
      <c r="B49" s="18" t="s">
        <v>46</v>
      </c>
      <c r="C49" s="18" t="s">
        <v>101</v>
      </c>
      <c r="D49" s="18" t="str">
        <f ca="1">IFERROR(__xludf.DUMMYFUNCTION("GoogleTranslate(A46, ""es"", ""en"")"),"bactericide")</f>
        <v>bactericide</v>
      </c>
      <c r="E49" s="18" t="str">
        <f ca="1">IFERROR(__xludf.DUMMYFUNCTION("GoogleTranslate(A46, ""es"", ""fr"")"),"bactéricide")</f>
        <v>bactéricide</v>
      </c>
      <c r="F49" s="18" t="str">
        <f ca="1">IFERROR(__xludf.DUMMYFUNCTION("GoogleTranslate(A46, ""es"", ""de"")"),"Bakterizid")</f>
        <v>Bakterizid</v>
      </c>
      <c r="G49" s="1"/>
    </row>
    <row r="50" spans="1:8" ht="77.25" customHeight="1" x14ac:dyDescent="0.2">
      <c r="A50" s="18" t="s">
        <v>102</v>
      </c>
      <c r="B50" s="18" t="s">
        <v>70</v>
      </c>
      <c r="C50" s="18" t="s">
        <v>103</v>
      </c>
      <c r="D50" s="18" t="str">
        <f ca="1">IFERROR(__xludf.DUMMYFUNCTION("GoogleTranslate(A47, ""es"", ""en"")"),"sheepskin")</f>
        <v>sheepskin</v>
      </c>
      <c r="E50" s="18" t="str">
        <f ca="1">IFERROR(__xludf.DUMMYFUNCTION("GoogleTranslate(A47, ""es"", ""fr"")"),"peau de mouton")</f>
        <v>peau de mouton</v>
      </c>
      <c r="F50" s="18" t="str">
        <f ca="1">IFERROR(__xludf.DUMMYFUNCTION("GoogleTranslate(A47, ""es"", ""de"")"),"Schaffell")</f>
        <v>Schaffell</v>
      </c>
      <c r="G50" s="1"/>
    </row>
    <row r="51" spans="1:8" ht="107.25" customHeight="1" x14ac:dyDescent="0.2">
      <c r="A51" s="18" t="s">
        <v>102</v>
      </c>
      <c r="B51" s="18" t="s">
        <v>70</v>
      </c>
      <c r="C51" s="18" t="s">
        <v>104</v>
      </c>
      <c r="D51" s="18" t="str">
        <f ca="1">IFERROR(__xludf.DUMMYFUNCTION("GoogleTranslate(A48, ""es"", ""en"")"),"sheepskin")</f>
        <v>sheepskin</v>
      </c>
      <c r="E51" s="18" t="str">
        <f ca="1">IFERROR(__xludf.DUMMYFUNCTION("GoogleTranslate(A48, ""es"", ""fr"")"),"peau de mouton")</f>
        <v>peau de mouton</v>
      </c>
      <c r="F51" s="18" t="str">
        <f ca="1">IFERROR(__xludf.DUMMYFUNCTION("GoogleTranslate(A48, ""es"", ""de"")"),"Schaffell")</f>
        <v>Schaffell</v>
      </c>
      <c r="G51" s="1"/>
      <c r="H51" s="2"/>
    </row>
    <row r="52" spans="1:8" ht="46.5" customHeight="1" x14ac:dyDescent="0.2">
      <c r="A52" s="18" t="s">
        <v>105</v>
      </c>
      <c r="B52" s="18" t="s">
        <v>106</v>
      </c>
      <c r="C52" s="18" t="s">
        <v>107</v>
      </c>
      <c r="D52" s="18" t="str">
        <f ca="1">IFERROR(__xludf.DUMMYFUNCTION("GoogleTranslate(A49, ""es"", ""en"")"),"barrack")</f>
        <v>barrack</v>
      </c>
      <c r="E52" s="18" t="str">
        <f ca="1">IFERROR(__xludf.DUMMYFUNCTION("GoogleTranslate(A49, ""es"", ""fr"")"),"caserne")</f>
        <v>caserne</v>
      </c>
      <c r="F52" s="18" t="str">
        <f ca="1">IFERROR(__xludf.DUMMYFUNCTION("GoogleTranslate(A49, ""es"", ""de"")"),"Baracke")</f>
        <v>Baracke</v>
      </c>
      <c r="G52" s="1"/>
    </row>
    <row r="53" spans="1:8" ht="60.75" customHeight="1" x14ac:dyDescent="0.2">
      <c r="A53" s="18" t="s">
        <v>108</v>
      </c>
      <c r="B53" s="18" t="s">
        <v>70</v>
      </c>
      <c r="C53" s="18" t="s">
        <v>109</v>
      </c>
      <c r="D53" s="18" t="str">
        <f ca="1">IFERROR(__xludf.DUMMYFUNCTION("GoogleTranslate(A50, ""es"", ""en"")"),"bastard")</f>
        <v>bastard</v>
      </c>
      <c r="E53" s="18" t="str">
        <f ca="1">IFERROR(__xludf.DUMMYFUNCTION("GoogleTranslate(A50, ""es"", ""fr"")"),"bâtard")</f>
        <v>bâtard</v>
      </c>
      <c r="F53" s="18" t="str">
        <f ca="1">IFERROR(__xludf.DUMMYFUNCTION("GoogleTranslate(A50, ""es"", ""de"")"),"Bastard")</f>
        <v>Bastard</v>
      </c>
      <c r="G53" s="1"/>
    </row>
    <row r="54" spans="1:8" ht="39" customHeight="1" x14ac:dyDescent="0.2">
      <c r="A54" s="18" t="s">
        <v>110</v>
      </c>
      <c r="B54" s="18" t="s">
        <v>70</v>
      </c>
      <c r="C54" s="18" t="s">
        <v>111</v>
      </c>
      <c r="D54" s="18" t="str">
        <f ca="1">IFERROR(__xludf.DUMMYFUNCTION("GoogleTranslate(A51, ""es"", ""en"")"),"calf")</f>
        <v>calf</v>
      </c>
      <c r="E54" s="18" t="str">
        <f ca="1">IFERROR(__xludf.DUMMYFUNCTION("GoogleTranslate(A51, ""es"", ""fr"")"),"veau")</f>
        <v>veau</v>
      </c>
      <c r="F54" s="18" t="str">
        <f ca="1">IFERROR(__xludf.DUMMYFUNCTION("GoogleTranslate(A51, ""es"", ""de"")"),"Kalb")</f>
        <v>Kalb</v>
      </c>
      <c r="G54" s="1"/>
    </row>
    <row r="55" spans="1:8" ht="96" customHeight="1" x14ac:dyDescent="0.2">
      <c r="A55" s="18" t="s">
        <v>112</v>
      </c>
      <c r="B55" s="18" t="s">
        <v>70</v>
      </c>
      <c r="C55" s="18" t="s">
        <v>113</v>
      </c>
      <c r="D55" s="18" t="str">
        <f ca="1">IFERROR(__xludf.DUMMYFUNCTION("GoogleTranslate(A52, ""es"", ""en"")"),"oiled calf")</f>
        <v>oiled calf</v>
      </c>
      <c r="E55" s="18" t="str">
        <f ca="1">IFERROR(__xludf.DUMMYFUNCTION("GoogleTranslate(A52, ""es"", ""fr"")"),"veau huilé")</f>
        <v>veau huilé</v>
      </c>
      <c r="F55" s="18" t="str">
        <f ca="1">IFERROR(__xludf.DUMMYFUNCTION("GoogleTranslate(A52, ""es"", ""de"")"),"geöltes Kalb")</f>
        <v>geöltes Kalb</v>
      </c>
      <c r="G55" s="1"/>
      <c r="H55" s="2"/>
    </row>
    <row r="56" spans="1:8" ht="39.75" customHeight="1" x14ac:dyDescent="0.2">
      <c r="A56" s="18" t="s">
        <v>114</v>
      </c>
      <c r="B56" s="18" t="s">
        <v>70</v>
      </c>
      <c r="C56" s="18" t="s">
        <v>115</v>
      </c>
      <c r="D56" s="18" t="str">
        <f ca="1">IFERROR(__xludf.DUMMYFUNCTION("GoogleTranslate(A53, ""es"", ""en"")"),"soft (leather)")</f>
        <v>soft (leather)</v>
      </c>
      <c r="E56" s="18" t="str">
        <f ca="1">IFERROR(__xludf.DUMMYFUNCTION("GoogleTranslate(A53, ""es"", ""fr"")"),"cuir souple)")</f>
        <v>cuir souple)</v>
      </c>
      <c r="F56" s="18" t="str">
        <f ca="1">IFERROR(__xludf.DUMMYFUNCTION("GoogleTranslate(A53, ""es"", ""de"")"),"weiches Leder)")</f>
        <v>weiches Leder)</v>
      </c>
      <c r="G56" s="1"/>
    </row>
    <row r="57" spans="1:8" ht="51.75" customHeight="1" x14ac:dyDescent="0.2">
      <c r="A57" s="18" t="s">
        <v>116</v>
      </c>
      <c r="B57" s="18" t="s">
        <v>70</v>
      </c>
      <c r="C57" s="18" t="s">
        <v>117</v>
      </c>
      <c r="D57" s="18" t="str">
        <f ca="1">IFERROR(__xludf.DUMMYFUNCTION("GoogleTranslate(A54, ""es"", ""en"")"),"box calf")</f>
        <v>box calf</v>
      </c>
      <c r="E57" s="18" t="str">
        <f ca="1">IFERROR(__xludf.DUMMYFUNCTION("GoogleTranslate(A54, ""es"", ""fr"")"),"veau box")</f>
        <v>veau box</v>
      </c>
      <c r="F57" s="18" t="str">
        <f ca="1">IFERROR(__xludf.DUMMYFUNCTION("GoogleTranslate(A54, ""es"", ""de"")"),"Boxkalb")</f>
        <v>Boxkalb</v>
      </c>
      <c r="G57" s="1"/>
    </row>
    <row r="58" spans="1:8" ht="46.5" customHeight="1" x14ac:dyDescent="0.2">
      <c r="A58" s="18" t="s">
        <v>118</v>
      </c>
      <c r="B58" s="18"/>
      <c r="C58" s="18" t="s">
        <v>119</v>
      </c>
      <c r="D58" s="18" t="str">
        <f ca="1">IFERROR(__xludf.DUMMYFUNCTION("GoogleTranslate(A55, ""es"", ""en"")"),"BRIDLES (Leather for Saddlery)")</f>
        <v>BRIDLES (Leather for Saddlery)</v>
      </c>
      <c r="E58" s="18" t="str">
        <f ca="1">IFERROR(__xludf.DUMMYFUNCTION("GoogleTranslate(A55, ""es"", ""fr"")"),"BRIDES (Cuir pour Sellerie)")</f>
        <v>BRIDES (Cuir pour Sellerie)</v>
      </c>
      <c r="F58" s="18" t="str">
        <f ca="1">IFERROR(__xludf.DUMMYFUNCTION("GoogleTranslate(A55, ""es"", ""de"")"),"ZÄUME (Leder für Sattlerwaren)")</f>
        <v>ZÄUME (Leder für Sattlerwaren)</v>
      </c>
      <c r="G58" s="1"/>
    </row>
    <row r="59" spans="1:8" ht="42.75" customHeight="1" x14ac:dyDescent="0.2">
      <c r="A59" s="18" t="s">
        <v>120</v>
      </c>
      <c r="B59" s="18" t="s">
        <v>70</v>
      </c>
      <c r="C59" s="18" t="s">
        <v>121</v>
      </c>
      <c r="D59" s="18" t="str">
        <f ca="1">IFERROR(__xludf.DUMMYFUNCTION("GoogleTranslate(A56, ""es"", ""en"")"),"chrome saddle")</f>
        <v>chrome saddle</v>
      </c>
      <c r="E59" s="18" t="str">
        <f ca="1">IFERROR(__xludf.DUMMYFUNCTION("GoogleTranslate(A56, ""es"", ""fr"")"),"selle chromée")</f>
        <v>selle chromée</v>
      </c>
      <c r="F59" s="18" t="str">
        <f ca="1">IFERROR(__xludf.DUMMYFUNCTION("GoogleTranslate(A56, ""es"", ""de"")"),"Chromsattel")</f>
        <v>Chromsattel</v>
      </c>
      <c r="G59" s="1"/>
    </row>
    <row r="60" spans="1:8" ht="45.75" customHeight="1" x14ac:dyDescent="0.2">
      <c r="A60" s="18" t="s">
        <v>122</v>
      </c>
      <c r="B60" s="18" t="s">
        <v>70</v>
      </c>
      <c r="C60" s="18" t="s">
        <v>123</v>
      </c>
      <c r="D60" s="18" t="str">
        <f ca="1">IFERROR(__xludf.DUMMYFUNCTION("GoogleTranslate(A57, ""es"", ""en"")"),"caper")</f>
        <v>caper</v>
      </c>
      <c r="E60" s="18" t="str">
        <f ca="1">IFERROR(__xludf.DUMMYFUNCTION("GoogleTranslate(A57, ""es"", ""fr"")"),"câpre")</f>
        <v>câpre</v>
      </c>
      <c r="F60" s="18" t="str">
        <f ca="1">IFERROR(__xludf.DUMMYFUNCTION("GoogleTranslate(A57, ""es"", ""de"")"),"Kapern")</f>
        <v>Kapern</v>
      </c>
      <c r="G60" s="1"/>
    </row>
    <row r="61" spans="1:8" ht="36.75" customHeight="1" x14ac:dyDescent="0.2">
      <c r="A61" s="18" t="s">
        <v>124</v>
      </c>
      <c r="B61" s="18" t="s">
        <v>70</v>
      </c>
      <c r="C61" s="18" t="s">
        <v>125</v>
      </c>
      <c r="D61" s="18" t="str">
        <f ca="1">IFERROR(__xludf.DUMMYFUNCTION("GoogleTranslate(A58, ""es"", ""en"")"),"kid")</f>
        <v>kid</v>
      </c>
      <c r="E61" s="18" t="str">
        <f ca="1">IFERROR(__xludf.DUMMYFUNCTION("GoogleTranslate(A58, ""es"", ""fr"")"),"enfant")</f>
        <v>enfant</v>
      </c>
      <c r="F61" s="18" t="str">
        <f ca="1">IFERROR(__xludf.DUMMYFUNCTION("GoogleTranslate(A58, ""es"", ""de"")"),"Kind")</f>
        <v>Kind</v>
      </c>
      <c r="G61" s="1"/>
    </row>
    <row r="62" spans="1:8" ht="40.5" customHeight="1" x14ac:dyDescent="0.2">
      <c r="A62" s="18" t="s">
        <v>126</v>
      </c>
      <c r="B62" s="18" t="s">
        <v>70</v>
      </c>
      <c r="C62" s="18" t="s">
        <v>127</v>
      </c>
      <c r="D62" s="18" t="str">
        <f ca="1">IFERROR(__xludf.DUMMYFUNCTION("GoogleTranslate(A59, ""es"", ""en"")"),"plush kid")</f>
        <v>plush kid</v>
      </c>
      <c r="E62" s="18" t="str">
        <f ca="1">IFERROR(__xludf.DUMMYFUNCTION("GoogleTranslate(A59, ""es"", ""fr"")"),"enfant en peluche")</f>
        <v>enfant en peluche</v>
      </c>
      <c r="F62" s="18" t="str">
        <f ca="1">IFERROR(__xludf.DUMMYFUNCTION("GoogleTranslate(A59, ""es"", ""de"")"),"Plüschkind")</f>
        <v>Plüschkind</v>
      </c>
      <c r="G62" s="1"/>
    </row>
    <row r="63" spans="1:8" ht="31.5" customHeight="1" x14ac:dyDescent="0.2">
      <c r="A63" s="18" t="s">
        <v>128</v>
      </c>
      <c r="B63" s="18" t="s">
        <v>70</v>
      </c>
      <c r="C63" s="18" t="s">
        <v>129</v>
      </c>
      <c r="D63" s="18" t="str">
        <f ca="1">IFERROR(__xludf.DUMMYFUNCTION("GoogleTranslate(A60, ""es"", ""en"")"),"golden goat")</f>
        <v>golden goat</v>
      </c>
      <c r="E63" s="18" t="str">
        <f ca="1">IFERROR(__xludf.DUMMYFUNCTION("GoogleTranslate(A60, ""es"", ""fr"")"),"chèvre dorée")</f>
        <v>chèvre dorée</v>
      </c>
      <c r="F63" s="18" t="str">
        <f ca="1">IFERROR(__xludf.DUMMYFUNCTION("GoogleTranslate(A60, ""es"", ""de"")"),"goldene Ziege")</f>
        <v>goldene Ziege</v>
      </c>
      <c r="G63" s="1"/>
    </row>
    <row r="64" spans="1:8" ht="31.5" customHeight="1" x14ac:dyDescent="0.2">
      <c r="A64" s="18" t="s">
        <v>130</v>
      </c>
      <c r="B64" s="18" t="s">
        <v>70</v>
      </c>
      <c r="C64" s="18" t="s">
        <v>131</v>
      </c>
      <c r="D64" s="18" t="str">
        <f ca="1">IFERROR(__xludf.DUMMYFUNCTION("GoogleTranslate(A61, ""es"", ""en"")"),"glazed kid")</f>
        <v>glazed kid</v>
      </c>
      <c r="E64" s="18" t="str">
        <f ca="1">IFERROR(__xludf.DUMMYFUNCTION("GoogleTranslate(A61, ""es"", ""fr"")"),"enfant glacé")</f>
        <v>enfant glacé</v>
      </c>
      <c r="F64" s="18" t="str">
        <f ca="1">IFERROR(__xludf.DUMMYFUNCTION("GoogleTranslate(A61, ""es"", ""de"")"),"glasiertes Kind")</f>
        <v>glasiertes Kind</v>
      </c>
      <c r="G64" s="1"/>
    </row>
    <row r="65" spans="1:7" ht="37.5" customHeight="1" x14ac:dyDescent="0.2">
      <c r="A65" s="18" t="s">
        <v>132</v>
      </c>
      <c r="B65" s="18" t="s">
        <v>70</v>
      </c>
      <c r="C65" s="18" t="s">
        <v>133</v>
      </c>
      <c r="D65" s="18" t="str">
        <f ca="1">IFERROR(__xludf.DUMMYFUNCTION("GoogleTranslate(A62, ""es"", ""en"")"),"kid for glove shop")</f>
        <v>kid for glove shop</v>
      </c>
      <c r="E65" s="18" t="str">
        <f ca="1">IFERROR(__xludf.DUMMYFUNCTION("GoogleTranslate(A62, ""es"", ""fr"")"),"enfant pour magasin de gants")</f>
        <v>enfant pour magasin de gants</v>
      </c>
      <c r="F65" s="18" t="str">
        <f ca="1">IFERROR(__xludf.DUMMYFUNCTION("GoogleTranslate(A62, ""es"", ""de"")"),"Kind für Handschuhgeschäft")</f>
        <v>Kind für Handschuhgeschäft</v>
      </c>
      <c r="G65" s="1"/>
    </row>
    <row r="66" spans="1:7" ht="39" customHeight="1" x14ac:dyDescent="0.2">
      <c r="A66" s="18" t="s">
        <v>134</v>
      </c>
      <c r="B66" s="18" t="s">
        <v>135</v>
      </c>
      <c r="C66" s="18" t="s">
        <v>136</v>
      </c>
      <c r="D66" s="18" t="str">
        <f ca="1">IFERROR(__xludf.DUMMYFUNCTION("GoogleTranslate(A63, ""es"", ""en"")"),"slap")</f>
        <v>slap</v>
      </c>
      <c r="E66" s="18" t="str">
        <f ca="1">IFERROR(__xludf.DUMMYFUNCTION("GoogleTranslate(A63, ""es"", ""fr"")"),"gifler")</f>
        <v>gifler</v>
      </c>
      <c r="F66" s="18" t="str">
        <f ca="1">IFERROR(__xludf.DUMMYFUNCTION("GoogleTranslate(A63, ""es"", ""de"")"),"schlagen")</f>
        <v>schlagen</v>
      </c>
      <c r="G66" s="1"/>
    </row>
    <row r="67" spans="1:7" ht="49.5" customHeight="1" x14ac:dyDescent="0.2">
      <c r="A67" s="18" t="s">
        <v>137</v>
      </c>
      <c r="B67" s="18" t="s">
        <v>135</v>
      </c>
      <c r="C67" s="18" t="s">
        <v>138</v>
      </c>
      <c r="D67" s="18" t="str">
        <f ca="1">IFERROR(__xludf.DUMMYFUNCTION("GoogleTranslate(A64, ""es"", ""en"")"),"flower cape")</f>
        <v>flower cape</v>
      </c>
      <c r="E67" s="18" t="str">
        <f ca="1">IFERROR(__xludf.DUMMYFUNCTION("GoogleTranslate(A64, ""es"", ""fr"")"),"cap fleuri")</f>
        <v>cap fleuri</v>
      </c>
      <c r="F67" s="18" t="str">
        <f ca="1">IFERROR(__xludf.DUMMYFUNCTION("GoogleTranslate(A64, ""es"", ""de"")"),"Blumenumhang")</f>
        <v>Blumenumhang</v>
      </c>
      <c r="G67" s="1"/>
    </row>
    <row r="68" spans="1:7" ht="40.5" customHeight="1" x14ac:dyDescent="0.2">
      <c r="A68" s="18" t="s">
        <v>139</v>
      </c>
      <c r="B68" s="18" t="s">
        <v>135</v>
      </c>
      <c r="C68" s="18" t="s">
        <v>140</v>
      </c>
      <c r="D68" s="18" t="str">
        <f ca="1">IFERROR(__xludf.DUMMYFUNCTION("GoogleTranslate(A65, ""es"", ""en"")"),"veneer")</f>
        <v>veneer</v>
      </c>
      <c r="E68" s="18" t="str">
        <f ca="1">IFERROR(__xludf.DUMMYFUNCTION("GoogleTranslate(A65, ""es"", ""fr"")"),"vernis")</f>
        <v>vernis</v>
      </c>
      <c r="F68" s="18" t="str">
        <f ca="1">IFERROR(__xludf.DUMMYFUNCTION("GoogleTranslate(A65, ""es"", ""de"")"),"Furnier")</f>
        <v>Furnier</v>
      </c>
      <c r="G68" s="1"/>
    </row>
    <row r="69" spans="1:7" ht="38.25" customHeight="1" x14ac:dyDescent="0.2">
      <c r="A69" s="18" t="s">
        <v>141</v>
      </c>
      <c r="B69" s="18" t="s">
        <v>135</v>
      </c>
      <c r="C69" s="18" t="s">
        <v>142</v>
      </c>
      <c r="D69" s="18" t="str">
        <f ca="1">IFERROR(__xludf.DUMMYFUNCTION("GoogleTranslate(A66, ""es"", ""en"")"),"bait")</f>
        <v>bait</v>
      </c>
      <c r="E69" s="18" t="str">
        <f ca="1">IFERROR(__xludf.DUMMYFUNCTION("GoogleTranslate(A66, ""es"", ""fr"")"),"appât")</f>
        <v>appât</v>
      </c>
      <c r="F69" s="18" t="str">
        <f ca="1">IFERROR(__xludf.DUMMYFUNCTION("GoogleTranslate(A66, ""es"", ""de"")"),"Köder")</f>
        <v>Köder</v>
      </c>
      <c r="G69" s="1"/>
    </row>
    <row r="70" spans="1:7" ht="66.75" customHeight="1" x14ac:dyDescent="0.2">
      <c r="A70" s="18" t="s">
        <v>143</v>
      </c>
      <c r="B70" s="18" t="s">
        <v>135</v>
      </c>
      <c r="C70" s="18" t="s">
        <v>144</v>
      </c>
      <c r="D70" s="18" t="str">
        <f ca="1">IFERROR(__xludf.DUMMYFUNCTION("GoogleTranslate(A67, ""es"", ""en"")"),"meat")</f>
        <v>meat</v>
      </c>
      <c r="E70" s="18" t="str">
        <f ca="1">IFERROR(__xludf.DUMMYFUNCTION("GoogleTranslate(A67, ""es"", ""fr"")"),"viande")</f>
        <v>viande</v>
      </c>
      <c r="F70" s="18" t="str">
        <f ca="1">IFERROR(__xludf.DUMMYFUNCTION("GoogleTranslate(A67, ""es"", ""de"")"),"Fleisch")</f>
        <v>Fleisch</v>
      </c>
      <c r="G70" s="1"/>
    </row>
    <row r="71" spans="1:7" ht="69" customHeight="1" x14ac:dyDescent="0.2">
      <c r="A71" s="18" t="s">
        <v>145</v>
      </c>
      <c r="B71" s="18" t="s">
        <v>70</v>
      </c>
      <c r="C71" s="18" t="s">
        <v>146</v>
      </c>
      <c r="D71" s="18" t="str">
        <f ca="1">IFERROR(__xludf.DUMMYFUNCTION("GoogleTranslate(A68, ""es"", ""en"")"),"capybara")</f>
        <v>capybara</v>
      </c>
      <c r="E71" s="18" t="str">
        <f ca="1">IFERROR(__xludf.DUMMYFUNCTION("GoogleTranslate(A68, ""es"", ""fr"")"),"Capybara")</f>
        <v>Capybara</v>
      </c>
      <c r="F71" s="18" t="str">
        <f ca="1">IFERROR(__xludf.DUMMYFUNCTION("GoogleTranslate(A68, ""es"", ""de"")"),"Wasserschwein")</f>
        <v>Wasserschwein</v>
      </c>
      <c r="G71" s="1"/>
    </row>
    <row r="72" spans="1:7" ht="39" customHeight="1" x14ac:dyDescent="0.2">
      <c r="A72" s="18" t="s">
        <v>147</v>
      </c>
      <c r="B72" s="18" t="s">
        <v>135</v>
      </c>
      <c r="C72" s="18" t="s">
        <v>148</v>
      </c>
      <c r="D72" s="18" t="str">
        <f ca="1">IFERROR(__xludf.DUMMYFUNCTION("GoogleTranslate(A69, ""es"", ""en"")"),"skirt center")</f>
        <v>skirt center</v>
      </c>
      <c r="E72" s="18" t="str">
        <f ca="1">IFERROR(__xludf.DUMMYFUNCTION("GoogleTranslate(A69, ""es"", ""fr"")"),"centre de la jupe")</f>
        <v>centre de la jupe</v>
      </c>
      <c r="F72" s="18" t="str">
        <f ca="1">IFERROR(__xludf.DUMMYFUNCTION("GoogleTranslate(A69, ""es"", ""de"")"),"Rockmitte")</f>
        <v>Rockmitte</v>
      </c>
      <c r="G72" s="1"/>
    </row>
    <row r="73" spans="1:7" ht="87" customHeight="1" x14ac:dyDescent="0.2">
      <c r="A73" s="18" t="s">
        <v>149</v>
      </c>
      <c r="B73" s="18" t="s">
        <v>150</v>
      </c>
      <c r="C73" s="20" t="s">
        <v>151</v>
      </c>
      <c r="D73" s="18" t="str">
        <f ca="1">IFERROR(__xludf.DUMMYFUNCTION("GoogleTranslate(A70, ""es"", ""en"")"),"brush")</f>
        <v>brush</v>
      </c>
      <c r="E73" s="18" t="str">
        <f ca="1">IFERROR(__xludf.DUMMYFUNCTION("GoogleTranslate(A70, ""es"", ""fr"")"),"brosse")</f>
        <v>brosse</v>
      </c>
      <c r="F73" s="18" t="str">
        <f ca="1">IFERROR(__xludf.DUMMYFUNCTION("GoogleTranslate(A70, ""es"", ""de"")"),"Bürste")</f>
        <v>Bürste</v>
      </c>
      <c r="G73" s="3"/>
    </row>
    <row r="74" spans="1:7" ht="326.25" customHeight="1" x14ac:dyDescent="0.2">
      <c r="A74" s="18" t="s">
        <v>152</v>
      </c>
      <c r="B74" s="18" t="s">
        <v>46</v>
      </c>
      <c r="C74" s="18" t="s">
        <v>153</v>
      </c>
      <c r="D74" s="18" t="str">
        <f ca="1">IFERROR(__xludf.DUMMYFUNCTION("GoogleTranslate(A71, ""es"", ""en"")"),"waxes")</f>
        <v>waxes</v>
      </c>
      <c r="E74" s="18" t="str">
        <f ca="1">IFERROR(__xludf.DUMMYFUNCTION("GoogleTranslate(A71, ""es"", ""fr"")"),"cires")</f>
        <v>cires</v>
      </c>
      <c r="F74" s="18" t="str">
        <f ca="1">IFERROR(__xludf.DUMMYFUNCTION("GoogleTranslate(A71, ""es"", ""de"")"),"Wachse")</f>
        <v>Wachse</v>
      </c>
      <c r="G74" s="1"/>
    </row>
    <row r="75" spans="1:7" ht="52.5" customHeight="1" x14ac:dyDescent="0.2">
      <c r="A75" s="18" t="s">
        <v>154</v>
      </c>
      <c r="B75" s="18" t="s">
        <v>70</v>
      </c>
      <c r="C75" s="18" t="s">
        <v>155</v>
      </c>
      <c r="D75" s="18" t="str">
        <f ca="1">IFERROR(__xludf.DUMMYFUNCTION("GoogleTranslate(A72, ""es"", ""en"")"),"pig")</f>
        <v>pig</v>
      </c>
      <c r="E75" s="18" t="str">
        <f ca="1">IFERROR(__xludf.DUMMYFUNCTION("GoogleTranslate(A72, ""es"", ""fr"")"),"cochon")</f>
        <v>cochon</v>
      </c>
      <c r="F75" s="18" t="str">
        <f ca="1">IFERROR(__xludf.DUMMYFUNCTION("GoogleTranslate(A72, ""es"", ""de"")"),"Schwein")</f>
        <v>Schwein</v>
      </c>
      <c r="G75" s="1"/>
    </row>
    <row r="76" spans="1:7" ht="66.75" customHeight="1" x14ac:dyDescent="0.2">
      <c r="A76" s="18" t="s">
        <v>156</v>
      </c>
      <c r="B76" s="18" t="s">
        <v>70</v>
      </c>
      <c r="C76" s="18" t="s">
        <v>157</v>
      </c>
      <c r="D76" s="18" t="str">
        <f ca="1">IFERROR(__xludf.DUMMYFUNCTION("GoogleTranslate(A73, ""es"", ""en"")"),"wild pig")</f>
        <v>wild pig</v>
      </c>
      <c r="E76" s="18" t="str">
        <f ca="1">IFERROR(__xludf.DUMMYFUNCTION("GoogleTranslate(A73, ""es"", ""fr"")"),"cochon sauvage")</f>
        <v>cochon sauvage</v>
      </c>
      <c r="F76" s="18" t="str">
        <f ca="1">IFERROR(__xludf.DUMMYFUNCTION("GoogleTranslate(A73, ""es"", ""de"")"),"Wildschwein")</f>
        <v>Wildschwein</v>
      </c>
      <c r="G76" s="1"/>
    </row>
    <row r="77" spans="1:7" ht="63.75" customHeight="1" x14ac:dyDescent="0.2">
      <c r="A77" s="18" t="s">
        <v>158</v>
      </c>
      <c r="B77" s="18"/>
      <c r="C77" s="18" t="s">
        <v>159</v>
      </c>
      <c r="D77" s="18" t="str">
        <f ca="1">IFERROR(__xludf.DUMMYFUNCTION("GoogleTranslate(A74, ""es"", ""en"")"),"SPINNING CYLINDER (Leather or leather for)")</f>
        <v>SPINNING CYLINDER (Leather or leather for)</v>
      </c>
      <c r="E77" s="18" t="str">
        <f ca="1">IFERROR(__xludf.DUMMYFUNCTION("GoogleTranslate(A74, ""es"", ""fr"")"),"CYLINDRE SPINNING (Cuir ou cuir pour)")</f>
        <v>CYLINDRE SPINNING (Cuir ou cuir pour)</v>
      </c>
      <c r="F77" s="18" t="str">
        <f ca="1">IFERROR(__xludf.DUMMYFUNCTION("GoogleTranslate(A74, ""es"", ""de"")"),"SPINNZYLINDER (Leder oder Leder für)")</f>
        <v>SPINNZYLINDER (Leder oder Leder für)</v>
      </c>
      <c r="G77" s="1"/>
    </row>
    <row r="78" spans="1:7" ht="48.75" customHeight="1" x14ac:dyDescent="0.2">
      <c r="A78" s="18" t="s">
        <v>160</v>
      </c>
      <c r="B78" s="18"/>
      <c r="C78" s="18" t="s">
        <v>161</v>
      </c>
      <c r="D78" s="18" t="str">
        <f ca="1">IFERROR(__xludf.DUMMYFUNCTION("GoogleTranslate(A75, ""es"", ""en"")"),"belts")</f>
        <v>belts</v>
      </c>
      <c r="E78" s="18" t="str">
        <f ca="1">IFERROR(__xludf.DUMMYFUNCTION("GoogleTranslate(A75, ""es"", ""fr"")"),"ceintures")</f>
        <v>ceintures</v>
      </c>
      <c r="F78" s="18" t="str">
        <f ca="1">IFERROR(__xludf.DUMMYFUNCTION("GoogleTranslate(A75, ""es"", ""de"")"),"Gürtel")</f>
        <v>Gürtel</v>
      </c>
      <c r="G78" s="1"/>
    </row>
    <row r="79" spans="1:7" ht="193.5" customHeight="1" x14ac:dyDescent="0.2">
      <c r="A79" s="18" t="s">
        <v>162</v>
      </c>
      <c r="B79" s="18" t="s">
        <v>7</v>
      </c>
      <c r="C79" s="18" t="s">
        <v>163</v>
      </c>
      <c r="D79" s="18" t="str">
        <f ca="1">IFERROR(__xludf.DUMMYFUNCTION("GoogleTranslate(A76, ""es"", ""en"")"),"leather classification")</f>
        <v>leather classification</v>
      </c>
      <c r="E79" s="18" t="str">
        <f ca="1">IFERROR(__xludf.DUMMYFUNCTION("GoogleTranslate(A76, ""es"", ""fr"")"),"classement du cuir")</f>
        <v>classement du cuir</v>
      </c>
      <c r="F79" s="18" t="str">
        <f ca="1">IFERROR(__xludf.DUMMYFUNCTION("GoogleTranslate(A76, ""es"", ""de"")"),"Lederklassifizierung")</f>
        <v>Lederklassifizierung</v>
      </c>
      <c r="G79" s="1"/>
    </row>
    <row r="80" spans="1:7" ht="120" customHeight="1" x14ac:dyDescent="0.2">
      <c r="A80" s="18" t="s">
        <v>164</v>
      </c>
      <c r="B80" s="18"/>
      <c r="C80" s="18" t="s">
        <v>165</v>
      </c>
      <c r="D80" s="18" t="str">
        <f ca="1">IFERROR(__xludf.DUMMYFUNCTION("GoogleTranslate(A77, ""es"", ""en"")"),"collagen")</f>
        <v>collagen</v>
      </c>
      <c r="E80" s="18" t="str">
        <f ca="1">IFERROR(__xludf.DUMMYFUNCTION("GoogleTranslate(A77, ""es"", ""fr"")"),"collagène")</f>
        <v>collagène</v>
      </c>
      <c r="F80" s="18" t="str">
        <f ca="1">IFERROR(__xludf.DUMMYFUNCTION("GoogleTranslate(A77, ""es"", ""de"")"),"Kollagen")</f>
        <v>Kollagen</v>
      </c>
      <c r="G80" s="1"/>
    </row>
    <row r="81" spans="1:7" ht="259.5" customHeight="1" x14ac:dyDescent="0.2">
      <c r="A81" s="18" t="s">
        <v>166</v>
      </c>
      <c r="B81" s="18" t="s">
        <v>46</v>
      </c>
      <c r="C81" s="18" t="s">
        <v>167</v>
      </c>
      <c r="D81" s="18" t="str">
        <f ca="1">IFERROR(__xludf.DUMMYFUNCTION("GoogleTranslate(A78, ""es"", ""en"")"),"Colorant")</f>
        <v>Colorant</v>
      </c>
      <c r="E81" s="18" t="str">
        <f ca="1">IFERROR(__xludf.DUMMYFUNCTION("GoogleTranslate(A78, ""es"", ""fr"")"),"Colorant")</f>
        <v>Colorant</v>
      </c>
      <c r="F81" s="18" t="str">
        <f ca="1">IFERROR(__xludf.DUMMYFUNCTION("GoogleTranslate(A78, ""es"", ""de"")"),"Farbstoff")</f>
        <v>Farbstoff</v>
      </c>
      <c r="G81" s="1"/>
    </row>
    <row r="82" spans="1:7" ht="63" customHeight="1" x14ac:dyDescent="0.2">
      <c r="A82" s="18" t="s">
        <v>168</v>
      </c>
      <c r="B82" s="18"/>
      <c r="C82" s="18" t="s">
        <v>169</v>
      </c>
      <c r="D82" s="18" t="str">
        <f ca="1">IFERROR(__xludf.DUMMYFUNCTION("GoogleTranslate(A79, ""es"", ""en"")"),"gas meters (leather for)")</f>
        <v>gas meters (leather for)</v>
      </c>
      <c r="E82" s="18" t="str">
        <f ca="1">IFERROR(__xludf.DUMMYFUNCTION("GoogleTranslate(A79, ""es"", ""fr"")"),"compteurs de gaz (cuir pour)")</f>
        <v>compteurs de gaz (cuir pour)</v>
      </c>
      <c r="F82" s="18" t="str">
        <f ca="1">IFERROR(__xludf.DUMMYFUNCTION("GoogleTranslate(A79, ""es"", ""de"")"),"Gaszähler (Leder für)")</f>
        <v>Gaszähler (Leder für)</v>
      </c>
      <c r="G82" s="1"/>
    </row>
    <row r="83" spans="1:7" ht="80.25" customHeight="1" x14ac:dyDescent="0.2">
      <c r="A83" s="18" t="s">
        <v>170</v>
      </c>
      <c r="B83" s="18"/>
      <c r="C83" s="18" t="s">
        <v>171</v>
      </c>
      <c r="D83" s="18" t="str">
        <f ca="1">IFERROR(__xludf.DUMMYFUNCTION("GoogleTranslate(A80, ""es"", ""en"")"),"finished shaved lamb (furskin)")</f>
        <v>finished shaved lamb (furskin)</v>
      </c>
      <c r="E83" s="18" t="str">
        <f ca="1">IFERROR(__xludf.DUMMYFUNCTION("GoogleTranslate(A80, ""es"", ""fr"")"),"agneau rasé fini (fourrure)")</f>
        <v>agneau rasé fini (fourrure)</v>
      </c>
      <c r="F83" s="18" t="str">
        <f ca="1">IFERROR(__xludf.DUMMYFUNCTION("GoogleTranslate(A80, ""es"", ""de"")"),"fertig geschorenes Lamm (Pelzfell)")</f>
        <v>fertig geschorenes Lamm (Pelzfell)</v>
      </c>
      <c r="G83" s="1"/>
    </row>
    <row r="84" spans="1:7" ht="25.5" customHeight="1" x14ac:dyDescent="0.2">
      <c r="A84" s="18" t="s">
        <v>172</v>
      </c>
      <c r="B84" s="18"/>
      <c r="C84" s="18" t="s">
        <v>173</v>
      </c>
      <c r="D84" s="18" t="str">
        <f ca="1">IFERROR(__xludf.DUMMYFUNCTION("GoogleTranslate(A81, ""es"", ""en"")"),"cordovan")</f>
        <v>cordovan</v>
      </c>
      <c r="E84" s="18" t="str">
        <f ca="1">IFERROR(__xludf.DUMMYFUNCTION("GoogleTranslate(A81, ""es"", ""fr"")"),"cordouan")</f>
        <v>cordouan</v>
      </c>
      <c r="F84" s="18" t="str">
        <f ca="1">IFERROR(__xludf.DUMMYFUNCTION("GoogleTranslate(A81, ""es"", ""de"")"),"Cordovan")</f>
        <v>Cordovan</v>
      </c>
      <c r="G84" s="1"/>
    </row>
    <row r="85" spans="1:7" ht="55.5" customHeight="1" x14ac:dyDescent="0.2">
      <c r="A85" s="18" t="s">
        <v>174</v>
      </c>
      <c r="B85" s="18" t="s">
        <v>135</v>
      </c>
      <c r="C85" s="18" t="s">
        <v>175</v>
      </c>
      <c r="D85" s="18" t="str">
        <f ca="1">IFERROR(__xludf.DUMMYFUNCTION("GoogleTranslate(A82, ""es"", ""en"")"),"stud pull strap (leather for)")</f>
        <v>stud pull strap (leather for)</v>
      </c>
      <c r="E85" s="18" t="str">
        <f ca="1">IFERROR(__xludf.DUMMYFUNCTION("GoogleTranslate(A82, ""es"", ""fr"")"),"sangle à bouton-pression (cuir pour)")</f>
        <v>sangle à bouton-pression (cuir pour)</v>
      </c>
      <c r="F85" s="18" t="str">
        <f ca="1">IFERROR(__xludf.DUMMYFUNCTION("GoogleTranslate(A82, ""es"", ""de"")"),"Nietenzugband (Leder für)")</f>
        <v>Nietenzugband (Leder für)</v>
      </c>
      <c r="G85" s="1"/>
    </row>
    <row r="86" spans="1:7" ht="106.5" customHeight="1" x14ac:dyDescent="0.2">
      <c r="A86" s="18" t="s">
        <v>176</v>
      </c>
      <c r="B86" s="18" t="s">
        <v>70</v>
      </c>
      <c r="C86" s="18" t="s">
        <v>177</v>
      </c>
      <c r="D86" s="18" t="str">
        <f ca="1">IFERROR(__xludf.DUMMYFUNCTION("GoogleTranslate(A83, ""es"", ""en"")"),"straps (semi-tanned leather)")</f>
        <v>straps (semi-tanned leather)</v>
      </c>
      <c r="E86" s="18" t="str">
        <f ca="1">IFERROR(__xludf.DUMMYFUNCTION("GoogleTranslate(A83, ""es"", ""fr"")"),"sangles (cuir semi-tanné)")</f>
        <v>sangles (cuir semi-tanné)</v>
      </c>
      <c r="F86" s="18" t="str">
        <f ca="1">IFERROR(__xludf.DUMMYFUNCTION("GoogleTranslate(A83, ""es"", ""de"")"),"Riemen (halbgegerbtes Leder)")</f>
        <v>Riemen (halbgegerbtes Leder)</v>
      </c>
      <c r="G86" s="1"/>
    </row>
    <row r="87" spans="1:7" ht="38.25" customHeight="1" x14ac:dyDescent="0.2">
      <c r="A87" s="18" t="s">
        <v>178</v>
      </c>
      <c r="B87" s="18" t="s">
        <v>7</v>
      </c>
      <c r="C87" s="18" t="s">
        <v>179</v>
      </c>
      <c r="D87" s="18" t="str">
        <f ca="1">IFERROR(__xludf.DUMMYFUNCTION("GoogleTranslate(A84, ""es"", ""en"")"),"crackled")</f>
        <v>crackled</v>
      </c>
      <c r="E87" s="18" t="str">
        <f ca="1">IFERROR(__xludf.DUMMYFUNCTION("GoogleTranslate(A84, ""es"", ""fr"")"),"crépité")</f>
        <v>crépité</v>
      </c>
      <c r="F87" s="18" t="str">
        <f ca="1">IFERROR(__xludf.DUMMYFUNCTION("GoogleTranslate(A84, ""es"", ""de"")"),"knisterte")</f>
        <v>knisterte</v>
      </c>
      <c r="G87" s="1"/>
    </row>
    <row r="88" spans="1:7" ht="45.75" customHeight="1" x14ac:dyDescent="0.2">
      <c r="A88" s="18" t="s">
        <v>180</v>
      </c>
      <c r="B88" s="18" t="s">
        <v>70</v>
      </c>
      <c r="C88" s="18" t="s">
        <v>181</v>
      </c>
      <c r="D88" s="18" t="str">
        <f ca="1">IFERROR(__xludf.DUMMYFUNCTION("GoogleTranslate(A85, ""es"", ""en"")"),"crisp ((skin or leather)")</f>
        <v>crisp ((skin or leather)</v>
      </c>
      <c r="E88" s="18" t="str">
        <f ca="1">IFERROR(__xludf.DUMMYFUNCTION("GoogleTranslate(A85, ""es"", ""fr"")"),"croustillant ((peau ou cuir)")</f>
        <v>croustillant ((peau ou cuir)</v>
      </c>
      <c r="F88" s="18" t="str">
        <f ca="1">IFERROR(__xludf.DUMMYFUNCTION("GoogleTranslate(A85, ""es"", ""de"")"),"knusprig ((Haut oder Leder)")</f>
        <v>knusprig ((Haut oder Leder)</v>
      </c>
      <c r="G88" s="1"/>
    </row>
    <row r="89" spans="1:7" ht="87" customHeight="1" x14ac:dyDescent="0.2">
      <c r="A89" s="18" t="s">
        <v>182</v>
      </c>
      <c r="B89" s="18" t="s">
        <v>70</v>
      </c>
      <c r="C89" s="18" t="s">
        <v>183</v>
      </c>
      <c r="D89" s="18" t="str">
        <f ca="1">IFERROR(__xludf.DUMMYFUNCTION("GoogleTranslate(A86, ""es"", ""en"")"),"retanned chrome")</f>
        <v>retanned chrome</v>
      </c>
      <c r="E89" s="18" t="str">
        <f ca="1">IFERROR(__xludf.DUMMYFUNCTION("GoogleTranslate(A86, ""es"", ""fr"")"),"chrome retanné")</f>
        <v>chrome retanné</v>
      </c>
      <c r="F89" s="18" t="str">
        <f ca="1">IFERROR(__xludf.DUMMYFUNCTION("GoogleTranslate(A86, ""es"", ""de"")"),"nachgegerbtes Chrom")</f>
        <v>nachgegerbtes Chrom</v>
      </c>
      <c r="G89" s="1"/>
    </row>
    <row r="90" spans="1:7" ht="63.75" x14ac:dyDescent="0.2">
      <c r="A90" s="18" t="s">
        <v>184</v>
      </c>
      <c r="B90" s="18" t="s">
        <v>135</v>
      </c>
      <c r="C90" s="18" t="s">
        <v>185</v>
      </c>
      <c r="D90" s="18" t="str">
        <f ca="1">IFERROR(__xludf.DUMMYFUNCTION("GoogleTranslate(A87, ""es"", ""en"")"),"croupon")</f>
        <v>croupon</v>
      </c>
      <c r="E90" s="18" t="str">
        <f ca="1">IFERROR(__xludf.DUMMYFUNCTION("GoogleTranslate(A87, ""es"", ""fr"")"),"croupon")</f>
        <v>croupon</v>
      </c>
      <c r="F90" s="18" t="str">
        <f ca="1">IFERROR(__xludf.DUMMYFUNCTION("GoogleTranslate(A87, ""es"", ""de"")"),"Croupon")</f>
        <v>Croupon</v>
      </c>
      <c r="G90" s="1"/>
    </row>
    <row r="91" spans="1:7" ht="38.25" x14ac:dyDescent="0.2">
      <c r="A91" s="18" t="s">
        <v>186</v>
      </c>
      <c r="B91" s="18" t="s">
        <v>135</v>
      </c>
      <c r="C91" s="18" t="s">
        <v>187</v>
      </c>
      <c r="D91" s="18" t="str">
        <f ca="1">IFERROR(__xludf.DUMMYFUNCTION("GoogleTranslate(A88, ""es"", ""en"")"),"plush crupon (or leaf)")</f>
        <v>plush crupon (or leaf)</v>
      </c>
      <c r="E91" s="18" t="str">
        <f ca="1">IFERROR(__xludf.DUMMYFUNCTION("GoogleTranslate(A88, ""es"", ""fr"")"),"peluche crupon (ou feuille)")</f>
        <v>peluche crupon (ou feuille)</v>
      </c>
      <c r="F91" s="18" t="str">
        <f ca="1">IFERROR(__xludf.DUMMYFUNCTION("GoogleTranslate(A88, ""es"", ""de"")"),"Plüschkrupon (oder Blatt)")</f>
        <v>Plüschkrupon (oder Blatt)</v>
      </c>
      <c r="G91" s="1"/>
    </row>
    <row r="92" spans="1:7" ht="63.75" x14ac:dyDescent="0.2">
      <c r="A92" s="18" t="s">
        <v>188</v>
      </c>
      <c r="B92" s="18" t="s">
        <v>135</v>
      </c>
      <c r="C92" s="18" t="s">
        <v>189</v>
      </c>
      <c r="D92" s="18" t="str">
        <f ca="1">IFERROR(__xludf.DUMMYFUNCTION("GoogleTranslate(A89, ""es"", ""en"")"),"strap crupper")</f>
        <v>strap crupper</v>
      </c>
      <c r="E92" s="18" t="str">
        <f ca="1">IFERROR(__xludf.DUMMYFUNCTION("GoogleTranslate(A89, ""es"", ""fr"")"),"croupière à sangle")</f>
        <v>croupière à sangle</v>
      </c>
      <c r="F92" s="18" t="str">
        <f ca="1">IFERROR(__xludf.DUMMYFUNCTION("GoogleTranslate(A89, ""es"", ""de"")"),"Riemenbrecher")</f>
        <v>Riemenbrecher</v>
      </c>
      <c r="G92" s="1"/>
    </row>
    <row r="93" spans="1:7" ht="51" x14ac:dyDescent="0.2">
      <c r="A93" s="18" t="s">
        <v>190</v>
      </c>
      <c r="B93" s="18" t="s">
        <v>135</v>
      </c>
      <c r="C93" s="18" t="s">
        <v>191</v>
      </c>
      <c r="D93" s="18" t="str">
        <f ca="1">IFERROR(__xludf.DUMMYFUNCTION("GoogleTranslate(A90, ""es"", ""en"")"),"crupon to throw tacos")</f>
        <v>crupon to throw tacos</v>
      </c>
      <c r="E93" s="18" t="str">
        <f ca="1">IFERROR(__xludf.DUMMYFUNCTION("GoogleTranslate(A90, ""es"", ""fr"")"),"crupon pour lancer des tacos")</f>
        <v>crupon pour lancer des tacos</v>
      </c>
      <c r="F93" s="18" t="str">
        <f ca="1">IFERROR(__xludf.DUMMYFUNCTION("GoogleTranslate(A90, ""es"", ""de"")"),"Crupon, um Tacos zu werfen")</f>
        <v>Crupon, um Tacos zu werfen</v>
      </c>
      <c r="G93" s="1"/>
    </row>
    <row r="94" spans="1:7" ht="38.25" x14ac:dyDescent="0.2">
      <c r="A94" s="18" t="s">
        <v>192</v>
      </c>
      <c r="B94" s="18" t="s">
        <v>70</v>
      </c>
      <c r="C94" s="18" t="s">
        <v>193</v>
      </c>
      <c r="D94" s="18" t="str">
        <f ca="1">IFERROR(__xludf.DUMMYFUNCTION("GoogleTranslate(A91, ""es"", ""en"")"),"crossed")</f>
        <v>crossed</v>
      </c>
      <c r="E94" s="18" t="str">
        <f ca="1">IFERROR(__xludf.DUMMYFUNCTION("GoogleTranslate(A91, ""es"", ""fr"")"),"franchi")</f>
        <v>franchi</v>
      </c>
      <c r="F94" s="18" t="str">
        <f ca="1">IFERROR(__xludf.DUMMYFUNCTION("GoogleTranslate(A91, ""es"", ""de"")"),"gekreuzt")</f>
        <v>gekreuzt</v>
      </c>
      <c r="G94" s="1"/>
    </row>
    <row r="95" spans="1:7" ht="51" x14ac:dyDescent="0.2">
      <c r="A95" s="18" t="s">
        <v>194</v>
      </c>
      <c r="B95" s="18" t="s">
        <v>135</v>
      </c>
      <c r="C95" s="18" t="s">
        <v>195</v>
      </c>
      <c r="D95" s="18" t="str">
        <f ca="1">IFERROR(__xludf.DUMMYFUNCTION("GoogleTranslate(A92, ""es"", ""en"")"),"neck")</f>
        <v>neck</v>
      </c>
      <c r="E95" s="18" t="str">
        <f ca="1">IFERROR(__xludf.DUMMYFUNCTION("GoogleTranslate(A92, ""es"", ""fr"")"),"cou")</f>
        <v>cou</v>
      </c>
      <c r="F95" s="18" t="str">
        <f ca="1">IFERROR(__xludf.DUMMYFUNCTION("GoogleTranslate(A92, ""es"", ""de"")"),"Nacken")</f>
        <v>Nacken</v>
      </c>
      <c r="G95" s="1"/>
    </row>
    <row r="96" spans="1:7" ht="51" x14ac:dyDescent="0.2">
      <c r="A96" s="18" t="s">
        <v>194</v>
      </c>
      <c r="B96" s="18" t="s">
        <v>135</v>
      </c>
      <c r="C96" s="18" t="s">
        <v>195</v>
      </c>
      <c r="D96" s="18" t="str">
        <f ca="1">IFERROR(__xludf.DUMMYFUNCTION("GoogleTranslate(A93, ""es"", ""en"")"),"neck")</f>
        <v>neck</v>
      </c>
      <c r="E96" s="18" t="str">
        <f ca="1">IFERROR(__xludf.DUMMYFUNCTION("GoogleTranslate(A93, ""es"", ""fr"")"),"cou")</f>
        <v>cou</v>
      </c>
      <c r="F96" s="18" t="str">
        <f ca="1">IFERROR(__xludf.DUMMYFUNCTION("GoogleTranslate(A93, ""es"", ""de"")"),"Nacken")</f>
        <v>Nacken</v>
      </c>
      <c r="G96" s="1"/>
    </row>
    <row r="97" spans="1:8" ht="38.25" x14ac:dyDescent="0.2">
      <c r="A97" s="18" t="s">
        <v>196</v>
      </c>
      <c r="B97" s="18"/>
      <c r="C97" s="18" t="s">
        <v>197</v>
      </c>
      <c r="D97" s="18" t="str">
        <f ca="1">IFERROR(__xludf.DUMMYFUNCTION("GoogleTranslate(A94, ""es"", ""en"")"),"tacking collar")</f>
        <v>tacking collar</v>
      </c>
      <c r="E97" s="18" t="str">
        <f ca="1">IFERROR(__xludf.DUMMYFUNCTION("GoogleTranslate(A94, ""es"", ""fr"")"),"collier de serrage")</f>
        <v>collier de serrage</v>
      </c>
      <c r="F97" s="18" t="str">
        <f ca="1">IFERROR(__xludf.DUMMYFUNCTION("GoogleTranslate(A94, ""es"", ""de"")"),"Heftkragen")</f>
        <v>Heftkragen</v>
      </c>
      <c r="G97" s="1"/>
    </row>
    <row r="98" spans="1:8" ht="102" x14ac:dyDescent="0.2">
      <c r="A98" s="18" t="s">
        <v>198</v>
      </c>
      <c r="B98" s="18" t="s">
        <v>135</v>
      </c>
      <c r="C98" s="18" t="s">
        <v>199</v>
      </c>
      <c r="D98" s="18" t="str">
        <f ca="1">IFERROR(__xludf.DUMMYFUNCTION("GoogleTranslate(A95, ""es"", ""en"")"),"leather")</f>
        <v>leather</v>
      </c>
      <c r="E98" s="18" t="str">
        <f ca="1">IFERROR(__xludf.DUMMYFUNCTION("GoogleTranslate(A95, ""es"", ""fr"")"),"cuir")</f>
        <v>cuir</v>
      </c>
      <c r="F98" s="18" t="str">
        <f ca="1">IFERROR(__xludf.DUMMYFUNCTION("GoogleTranslate(A95, ""es"", ""de"")"),"Leder")</f>
        <v>Leder</v>
      </c>
      <c r="G98" s="1"/>
    </row>
    <row r="99" spans="1:8" ht="38.25" x14ac:dyDescent="0.2">
      <c r="A99" s="18" t="s">
        <v>200</v>
      </c>
      <c r="B99" s="18" t="s">
        <v>70</v>
      </c>
      <c r="C99" s="18" t="s">
        <v>201</v>
      </c>
      <c r="D99" s="18" t="str">
        <f ca="1">IFERROR(__xludf.DUMMYFUNCTION("GoogleTranslate(A96, ""es"", ""en"")"),"goat leather")</f>
        <v>goat leather</v>
      </c>
      <c r="E99" s="18" t="str">
        <f ca="1">IFERROR(__xludf.DUMMYFUNCTION("GoogleTranslate(A96, ""es"", ""fr"")"),"cuir de chèvre")</f>
        <v>cuir de chèvre</v>
      </c>
      <c r="F99" s="18" t="str">
        <f ca="1">IFERROR(__xludf.DUMMYFUNCTION("GoogleTranslate(A96, ""es"", ""de"")"),"Ziegenleder")</f>
        <v>Ziegenleder</v>
      </c>
      <c r="G99" s="1"/>
    </row>
    <row r="100" spans="1:8" ht="51" x14ac:dyDescent="0.2">
      <c r="A100" s="18" t="s">
        <v>202</v>
      </c>
      <c r="B100" s="18" t="s">
        <v>70</v>
      </c>
      <c r="C100" s="18" t="s">
        <v>203</v>
      </c>
      <c r="D100" s="18" t="str">
        <f ca="1">IFERROR(__xludf.DUMMYFUNCTION("GoogleTranslate(A97, ""es"", ""en"")"),"crust leather")</f>
        <v>crust leather</v>
      </c>
      <c r="E100" s="18" t="str">
        <f ca="1">IFERROR(__xludf.DUMMYFUNCTION("GoogleTranslate(A97, ""es"", ""fr"")"),"croûte de cuir")</f>
        <v>croûte de cuir</v>
      </c>
      <c r="F100" s="18" t="str">
        <f ca="1">IFERROR(__xludf.DUMMYFUNCTION("GoogleTranslate(A97, ""es"", ""de"")"),"Krustenleder")</f>
        <v>Krustenleder</v>
      </c>
      <c r="G100" s="1"/>
      <c r="H100" s="4"/>
    </row>
    <row r="101" spans="1:8" ht="38.25" x14ac:dyDescent="0.2">
      <c r="A101" s="18" t="s">
        <v>204</v>
      </c>
      <c r="B101" s="18" t="s">
        <v>135</v>
      </c>
      <c r="C101" s="18" t="s">
        <v>205</v>
      </c>
      <c r="D101" s="18" t="str">
        <f ca="1">IFERROR(__xludf.DUMMYFUNCTION("GoogleTranslate(A98, ""es"", ""en"")"),"butt")</f>
        <v>butt</v>
      </c>
      <c r="E101" s="18" t="str">
        <f ca="1">IFERROR(__xludf.DUMMYFUNCTION("GoogleTranslate(A98, ""es"", ""fr"")"),"bout")</f>
        <v>bout</v>
      </c>
      <c r="F101" s="18" t="str">
        <f ca="1">IFERROR(__xludf.DUMMYFUNCTION("GoogleTranslate(A98, ""es"", ""de"")"),"Hintern")</f>
        <v>Hintern</v>
      </c>
      <c r="G101" s="1"/>
    </row>
    <row r="102" spans="1:8" ht="38.25" x14ac:dyDescent="0.2">
      <c r="A102" s="18" t="s">
        <v>204</v>
      </c>
      <c r="B102" s="18" t="s">
        <v>135</v>
      </c>
      <c r="C102" s="18" t="s">
        <v>206</v>
      </c>
      <c r="D102" s="18" t="str">
        <f ca="1">IFERROR(__xludf.DUMMYFUNCTION("GoogleTranslate(A99, ""es"", ""en"")"),"butt")</f>
        <v>butt</v>
      </c>
      <c r="E102" s="18" t="str">
        <f ca="1">IFERROR(__xludf.DUMMYFUNCTION("GoogleTranslate(A99, ""es"", ""fr"")"),"bout")</f>
        <v>bout</v>
      </c>
      <c r="F102" s="18" t="str">
        <f ca="1">IFERROR(__xludf.DUMMYFUNCTION("GoogleTranslate(A99, ""es"", ""de"")"),"Hintern")</f>
        <v>Hintern</v>
      </c>
      <c r="G102" s="1"/>
      <c r="H102" s="5"/>
    </row>
    <row r="103" spans="1:8" ht="76.5" x14ac:dyDescent="0.2">
      <c r="A103" s="18" t="s">
        <v>207</v>
      </c>
      <c r="B103" s="18" t="s">
        <v>208</v>
      </c>
      <c r="C103" s="18" t="s">
        <v>209</v>
      </c>
      <c r="D103" s="18" t="str">
        <f ca="1">IFERROR(__xludf.DUMMYFUNCTION("GoogleTranslate(A100, ""es"", ""en"")"),"oil cured")</f>
        <v>oil cured</v>
      </c>
      <c r="E103" s="18" t="str">
        <f ca="1">IFERROR(__xludf.DUMMYFUNCTION("GoogleTranslate(A100, ""es"", ""fr"")"),"guéri à l'huile")</f>
        <v>guéri à l'huile</v>
      </c>
      <c r="F103" s="18" t="str">
        <f ca="1">IFERROR(__xludf.DUMMYFUNCTION("GoogleTranslate(A100, ""es"", ""de"")"),"Ölgehärtet")</f>
        <v>Ölgehärtet</v>
      </c>
      <c r="G103" s="1"/>
      <c r="H103" s="2"/>
    </row>
    <row r="104" spans="1:8" ht="51" x14ac:dyDescent="0.2">
      <c r="A104" s="18" t="s">
        <v>210</v>
      </c>
      <c r="B104" s="18" t="s">
        <v>7</v>
      </c>
      <c r="C104" s="18" t="s">
        <v>211</v>
      </c>
      <c r="D104" s="18" t="str">
        <f ca="1">IFERROR(__xludf.DUMMYFUNCTION("GoogleTranslate(A101, ""es"", ""en"")"),"tanning")</f>
        <v>tanning</v>
      </c>
      <c r="E104" s="18" t="str">
        <f ca="1">IFERROR(__xludf.DUMMYFUNCTION("GoogleTranslate(A101, ""es"", ""fr"")"),"bronzage")</f>
        <v>bronzage</v>
      </c>
      <c r="F104" s="18" t="str">
        <f ca="1">IFERROR(__xludf.DUMMYFUNCTION("GoogleTranslate(A101, ""es"", ""de"")"),"Bräunen")</f>
        <v>Bräunen</v>
      </c>
      <c r="G104" s="1"/>
    </row>
    <row r="105" spans="1:8" ht="51" x14ac:dyDescent="0.2">
      <c r="A105" s="18" t="s">
        <v>210</v>
      </c>
      <c r="B105" s="18" t="s">
        <v>7</v>
      </c>
      <c r="C105" s="18" t="s">
        <v>211</v>
      </c>
      <c r="D105" s="18" t="str">
        <f ca="1">IFERROR(__xludf.DUMMYFUNCTION("GoogleTranslate(A102, ""es"", ""en"")"),"tanning")</f>
        <v>tanning</v>
      </c>
      <c r="E105" s="18" t="str">
        <f ca="1">IFERROR(__xludf.DUMMYFUNCTION("GoogleTranslate(A102, ""es"", ""fr"")"),"bronzage")</f>
        <v>bronzage</v>
      </c>
      <c r="F105" s="18" t="str">
        <f ca="1">IFERROR(__xludf.DUMMYFUNCTION("GoogleTranslate(A102, ""es"", ""de"")"),"Bräunen")</f>
        <v>Bräunen</v>
      </c>
      <c r="G105" s="1"/>
      <c r="H105" s="4"/>
    </row>
    <row r="106" spans="1:8" ht="165.75" x14ac:dyDescent="0.2">
      <c r="A106" s="18" t="s">
        <v>212</v>
      </c>
      <c r="B106" s="18" t="s">
        <v>7</v>
      </c>
      <c r="C106" s="18" t="s">
        <v>213</v>
      </c>
      <c r="D106" s="18" t="str">
        <f ca="1">IFERROR(__xludf.DUMMYFUNCTION("GoogleTranslate(A103, ""es"", ""en"")"),"tanning")</f>
        <v>tanning</v>
      </c>
      <c r="E106" s="18" t="str">
        <f ca="1">IFERROR(__xludf.DUMMYFUNCTION("GoogleTranslate(A103, ""es"", ""fr"")"),"bronzage")</f>
        <v>bronzage</v>
      </c>
      <c r="F106" s="18" t="str">
        <f ca="1">IFERROR(__xludf.DUMMYFUNCTION("GoogleTranslate(A103, ""es"", ""de"")"),"Bräunen")</f>
        <v>Bräunen</v>
      </c>
      <c r="G106" s="1"/>
    </row>
    <row r="107" spans="1:8" ht="165.75" x14ac:dyDescent="0.2">
      <c r="A107" s="18" t="s">
        <v>212</v>
      </c>
      <c r="B107" s="18" t="s">
        <v>208</v>
      </c>
      <c r="C107" s="18" t="s">
        <v>214</v>
      </c>
      <c r="D107" s="18" t="str">
        <f ca="1">IFERROR(__xludf.DUMMYFUNCTION("GoogleTranslate(A104, ""es"", ""en"")"),"tanning")</f>
        <v>tanning</v>
      </c>
      <c r="E107" s="18" t="str">
        <f ca="1">IFERROR(__xludf.DUMMYFUNCTION("GoogleTranslate(A104, ""es"", ""fr"")"),"bronzage")</f>
        <v>bronzage</v>
      </c>
      <c r="F107" s="18" t="str">
        <f ca="1">IFERROR(__xludf.DUMMYFUNCTION("GoogleTranslate(A104, ""es"", ""de"")"),"Bräunen")</f>
        <v>Bräunen</v>
      </c>
      <c r="G107" s="1"/>
      <c r="H107" s="6"/>
    </row>
    <row r="108" spans="1:8" ht="51" x14ac:dyDescent="0.2">
      <c r="A108" s="18" t="s">
        <v>215</v>
      </c>
      <c r="B108" s="18" t="s">
        <v>208</v>
      </c>
      <c r="C108" s="18" t="s">
        <v>216</v>
      </c>
      <c r="D108" s="18" t="str">
        <f ca="1">IFERROR(__xludf.DUMMYFUNCTION("GoogleTranslate(A105, ""es"", ""en"")"),"fat tanned")</f>
        <v>fat tanned</v>
      </c>
      <c r="E108" s="18" t="str">
        <f ca="1">IFERROR(__xludf.DUMMYFUNCTION("GoogleTranslate(A105, ""es"", ""fr"")"),"gros bronzé")</f>
        <v>gros bronzé</v>
      </c>
      <c r="F108" s="18" t="str">
        <f ca="1">IFERROR(__xludf.DUMMYFUNCTION("GoogleTranslate(A105, ""es"", ""de"")"),"fett gebräunt")</f>
        <v>fett gebräunt</v>
      </c>
      <c r="G108" s="1"/>
      <c r="H108" s="6"/>
    </row>
    <row r="109" spans="1:8" ht="51" x14ac:dyDescent="0.2">
      <c r="A109" s="18" t="s">
        <v>217</v>
      </c>
      <c r="B109" s="18" t="s">
        <v>208</v>
      </c>
      <c r="C109" s="18" t="s">
        <v>218</v>
      </c>
      <c r="D109" s="18" t="str">
        <f ca="1">IFERROR(__xludf.DUMMYFUNCTION("GoogleTranslate(A106, ""es"", ""en"")"),"silica tanned")</f>
        <v>silica tanned</v>
      </c>
      <c r="E109" s="18" t="str">
        <f ca="1">IFERROR(__xludf.DUMMYFUNCTION("GoogleTranslate(A106, ""es"", ""fr"")"),"tanné à la silice")</f>
        <v>tanné à la silice</v>
      </c>
      <c r="F109" s="18" t="str">
        <f ca="1">IFERROR(__xludf.DUMMYFUNCTION("GoogleTranslate(A106, ""es"", ""de"")"),"kieselsäuregegerbt")</f>
        <v>kieselsäuregegerbt</v>
      </c>
      <c r="G109" s="1"/>
      <c r="H109" s="2"/>
    </row>
    <row r="110" spans="1:8" ht="38.25" x14ac:dyDescent="0.2">
      <c r="A110" s="18" t="s">
        <v>219</v>
      </c>
      <c r="B110" s="18" t="s">
        <v>208</v>
      </c>
      <c r="C110" s="18" t="s">
        <v>220</v>
      </c>
      <c r="D110" s="18" t="str">
        <f ca="1">IFERROR(__xludf.DUMMYFUNCTION("GoogleTranslate(A107, ""es"", ""en"")"),"alum tanned")</f>
        <v>alum tanned</v>
      </c>
      <c r="E110" s="18" t="str">
        <f ca="1">IFERROR(__xludf.DUMMYFUNCTION("GoogleTranslate(A107, ""es"", ""fr"")"),"alun tanné")</f>
        <v>alun tanné</v>
      </c>
      <c r="F110" s="18" t="str">
        <f ca="1">IFERROR(__xludf.DUMMYFUNCTION("GoogleTranslate(A107, ""es"", ""de"")"),"Alaun gegerbt")</f>
        <v>Alaun gegerbt</v>
      </c>
      <c r="G110" s="1"/>
      <c r="H110" s="6"/>
    </row>
    <row r="111" spans="1:8" ht="38.25" x14ac:dyDescent="0.2">
      <c r="A111" s="18" t="s">
        <v>221</v>
      </c>
      <c r="B111" s="18" t="s">
        <v>208</v>
      </c>
      <c r="C111" s="18" t="s">
        <v>222</v>
      </c>
      <c r="D111" s="18" t="str">
        <f ca="1">IFERROR(__xludf.DUMMYFUNCTION("GoogleTranslate(A108, ""es"", ""en"")"),"sulfur tanned")</f>
        <v>sulfur tanned</v>
      </c>
      <c r="E111" s="18" t="str">
        <f ca="1">IFERROR(__xludf.DUMMYFUNCTION("GoogleTranslate(A108, ""es"", ""fr"")"),"tanné au soufre")</f>
        <v>tanné au soufre</v>
      </c>
      <c r="F111" s="18" t="str">
        <f ca="1">IFERROR(__xludf.DUMMYFUNCTION("GoogleTranslate(A108, ""es"", ""de"")"),"Schwefelgegerbt")</f>
        <v>Schwefelgegerbt</v>
      </c>
      <c r="G111" s="1"/>
      <c r="H111" s="6"/>
    </row>
    <row r="112" spans="1:8" ht="76.5" x14ac:dyDescent="0.2">
      <c r="A112" s="18" t="s">
        <v>223</v>
      </c>
      <c r="B112" s="18" t="s">
        <v>208</v>
      </c>
      <c r="C112" s="18" t="s">
        <v>224</v>
      </c>
      <c r="D112" s="18" t="str">
        <f ca="1">IFERROR(__xludf.DUMMYFUNCTION("GoogleTranslate(A109, ""es"", ""en"")"),"chrome tanned")</f>
        <v>chrome tanned</v>
      </c>
      <c r="E112" s="18" t="str">
        <f ca="1">IFERROR(__xludf.DUMMYFUNCTION("GoogleTranslate(A109, ""es"", ""fr"")"),"tanné au chrome")</f>
        <v>tanné au chrome</v>
      </c>
      <c r="F112" s="18" t="str">
        <f ca="1">IFERROR(__xludf.DUMMYFUNCTION("GoogleTranslate(A109, ""es"", ""de"")"),"Chromgegerbt")</f>
        <v>Chromgegerbt</v>
      </c>
      <c r="G112" s="1"/>
      <c r="H112" s="6"/>
    </row>
    <row r="113" spans="1:8" ht="25.5" x14ac:dyDescent="0.2">
      <c r="A113" s="18" t="s">
        <v>225</v>
      </c>
      <c r="B113" s="18" t="s">
        <v>208</v>
      </c>
      <c r="C113" s="18" t="s">
        <v>226</v>
      </c>
      <c r="D113" s="18" t="str">
        <f ca="1">IFERROR(__xludf.DUMMYFUNCTION("GoogleTranslate(A110, ""es"", ""en"")"),"combined tanning")</f>
        <v>combined tanning</v>
      </c>
      <c r="E113" s="18" t="str">
        <f ca="1">IFERROR(__xludf.DUMMYFUNCTION("GoogleTranslate(A110, ""es"", ""fr"")"),"bronzage combiné")</f>
        <v>bronzage combiné</v>
      </c>
      <c r="F113" s="18" t="str">
        <f ca="1">IFERROR(__xludf.DUMMYFUNCTION("GoogleTranslate(A110, ""es"", ""de"")"),"kombinierte Bräunung")</f>
        <v>kombinierte Bräunung</v>
      </c>
      <c r="G113" s="1"/>
      <c r="H113" s="6"/>
    </row>
    <row r="114" spans="1:8" ht="25.5" x14ac:dyDescent="0.2">
      <c r="A114" s="18" t="s">
        <v>227</v>
      </c>
      <c r="B114" s="18" t="s">
        <v>208</v>
      </c>
      <c r="C114" s="18" t="s">
        <v>228</v>
      </c>
      <c r="D114" s="18" t="str">
        <f ca="1">IFERROR(__xludf.DUMMYFUNCTION("GoogleTranslate(A111, ""es"", ""en"")"),"mineral tanning")</f>
        <v>mineral tanning</v>
      </c>
      <c r="E114" s="18" t="str">
        <f ca="1">IFERROR(__xludf.DUMMYFUNCTION("GoogleTranslate(A111, ""es"", ""fr"")"),"tannage minéral")</f>
        <v>tannage minéral</v>
      </c>
      <c r="F114" s="18" t="str">
        <f ca="1">IFERROR(__xludf.DUMMYFUNCTION("GoogleTranslate(A111, ""es"", ""de"")"),"mineralische Gerbung")</f>
        <v>mineralische Gerbung</v>
      </c>
      <c r="G114" s="1"/>
      <c r="H114" s="6"/>
    </row>
    <row r="115" spans="1:8" ht="25.5" x14ac:dyDescent="0.2">
      <c r="A115" s="18" t="s">
        <v>229</v>
      </c>
      <c r="B115" s="18" t="s">
        <v>208</v>
      </c>
      <c r="C115" s="18" t="s">
        <v>230</v>
      </c>
      <c r="D115" s="18" t="str">
        <f ca="1">IFERROR(__xludf.DUMMYFUNCTION("GoogleTranslate(A112, ""es"", ""en"")"),"mixed tanning")</f>
        <v>mixed tanning</v>
      </c>
      <c r="E115" s="18" t="str">
        <f ca="1">IFERROR(__xludf.DUMMYFUNCTION("GoogleTranslate(A112, ""es"", ""fr"")"),"bronzage mixte")</f>
        <v>bronzage mixte</v>
      </c>
      <c r="F115" s="18" t="str">
        <f ca="1">IFERROR(__xludf.DUMMYFUNCTION("GoogleTranslate(A112, ""es"", ""de"")"),"Mischbräunung")</f>
        <v>Mischbräunung</v>
      </c>
      <c r="G115" s="1"/>
      <c r="H115" s="6"/>
    </row>
    <row r="116" spans="1:8" ht="89.25" x14ac:dyDescent="0.2">
      <c r="A116" s="18" t="s">
        <v>231</v>
      </c>
      <c r="B116" s="18" t="s">
        <v>208</v>
      </c>
      <c r="C116" s="18" t="s">
        <v>232</v>
      </c>
      <c r="D116" s="18" t="str">
        <f ca="1">IFERROR(__xludf.DUMMYFUNCTION("GoogleTranslate(A113, ""es"", ""en"")"),"vegetable tanned")</f>
        <v>vegetable tanned</v>
      </c>
      <c r="E116" s="18" t="str">
        <f ca="1">IFERROR(__xludf.DUMMYFUNCTION("GoogleTranslate(A113, ""es"", ""fr"")"),"tannage végétal")</f>
        <v>tannage végétal</v>
      </c>
      <c r="F116" s="18" t="str">
        <f ca="1">IFERROR(__xludf.DUMMYFUNCTION("GoogleTranslate(A113, ""es"", ""de"")"),"pflanzlich gegerbt")</f>
        <v>pflanzlich gegerbt</v>
      </c>
      <c r="G116" s="1"/>
      <c r="H116" s="6"/>
    </row>
    <row r="117" spans="1:8" ht="25.5" x14ac:dyDescent="0.2">
      <c r="A117" s="18" t="s">
        <v>233</v>
      </c>
      <c r="B117" s="18" t="s">
        <v>208</v>
      </c>
      <c r="C117" s="18" t="s">
        <v>234</v>
      </c>
      <c r="D117" s="18" t="str">
        <f ca="1">IFERROR(__xludf.DUMMYFUNCTION("GoogleTranslate(A114, ""es"", ""en"")"),"aldehyde curtiod")</f>
        <v>aldehyde curtiod</v>
      </c>
      <c r="E117" s="18" t="str">
        <f ca="1">IFERROR(__xludf.DUMMYFUNCTION("GoogleTranslate(A114, ""es"", ""fr"")"),"aldéhyde curtiode")</f>
        <v>aldéhyde curtiode</v>
      </c>
      <c r="F117" s="18" t="str">
        <f ca="1">IFERROR(__xludf.DUMMYFUNCTION("GoogleTranslate(A114, ""es"", ""de"")"),"Aldehydcurtiod")</f>
        <v>Aldehydcurtiod</v>
      </c>
      <c r="G117" s="1"/>
      <c r="H117" s="6"/>
    </row>
    <row r="118" spans="1:8" ht="63.75" x14ac:dyDescent="0.2">
      <c r="A118" s="18" t="s">
        <v>235</v>
      </c>
      <c r="B118" s="18" t="s">
        <v>135</v>
      </c>
      <c r="C118" s="18" t="s">
        <v>236</v>
      </c>
      <c r="D118" s="18" t="str">
        <f ca="1">IFERROR(__xludf.DUMMYFUNCTION("GoogleTranslate(A115, ""es"", ""en"")"),"Forward")</f>
        <v>Forward</v>
      </c>
      <c r="E118" s="18" t="str">
        <f ca="1">IFERROR(__xludf.DUMMYFUNCTION("GoogleTranslate(A115, ""es"", ""fr"")"),"Avant")</f>
        <v>Avant</v>
      </c>
      <c r="F118" s="18" t="str">
        <f ca="1">IFERROR(__xludf.DUMMYFUNCTION("GoogleTranslate(A115, ""es"", ""de"")"),"Nach vorne")</f>
        <v>Nach vorne</v>
      </c>
      <c r="G118" s="1"/>
    </row>
    <row r="119" spans="1:8" ht="63.75" x14ac:dyDescent="0.2">
      <c r="A119" s="18" t="s">
        <v>235</v>
      </c>
      <c r="B119" s="18" t="s">
        <v>135</v>
      </c>
      <c r="C119" s="18" t="s">
        <v>236</v>
      </c>
      <c r="D119" s="18" t="str">
        <f ca="1">IFERROR(__xludf.DUMMYFUNCTION("GoogleTranslate(A116, ""es"", ""en"")"),"Forward")</f>
        <v>Forward</v>
      </c>
      <c r="E119" s="18" t="str">
        <f ca="1">IFERROR(__xludf.DUMMYFUNCTION("GoogleTranslate(A116, ""es"", ""fr"")"),"Avant")</f>
        <v>Avant</v>
      </c>
      <c r="F119" s="18" t="str">
        <f ca="1">IFERROR(__xludf.DUMMYFUNCTION("GoogleTranslate(A116, ""es"", ""de"")"),"Nach vorne")</f>
        <v>Nach vorne</v>
      </c>
      <c r="G119" s="1"/>
    </row>
    <row r="120" spans="1:8" ht="51" x14ac:dyDescent="0.2">
      <c r="A120" s="18" t="s">
        <v>237</v>
      </c>
      <c r="B120" s="18" t="s">
        <v>7</v>
      </c>
      <c r="C120" s="18" t="s">
        <v>238</v>
      </c>
      <c r="D120" s="18" t="str">
        <f ca="1">IFERROR(__xludf.DUMMYFUNCTION("GoogleTranslate(A117, ""es"", ""en"")"),"fleshing")</f>
        <v>fleshing</v>
      </c>
      <c r="E120" s="18" t="str">
        <f ca="1">IFERROR(__xludf.DUMMYFUNCTION("GoogleTranslate(A117, ""es"", ""fr"")"),"étoffement")</f>
        <v>étoffement</v>
      </c>
      <c r="F120" s="18" t="str">
        <f ca="1">IFERROR(__xludf.DUMMYFUNCTION("GoogleTranslate(A117, ""es"", ""de"")"),"Fleischbildung")</f>
        <v>Fleischbildung</v>
      </c>
      <c r="G120" s="1"/>
    </row>
    <row r="121" spans="1:8" ht="51" x14ac:dyDescent="0.2">
      <c r="A121" s="18" t="s">
        <v>237</v>
      </c>
      <c r="B121" s="18" t="s">
        <v>135</v>
      </c>
      <c r="C121" s="18" t="s">
        <v>239</v>
      </c>
      <c r="D121" s="18" t="str">
        <f ca="1">IFERROR(__xludf.DUMMYFUNCTION("GoogleTranslate(A118, ""es"", ""en"")"),"fleshing")</f>
        <v>fleshing</v>
      </c>
      <c r="E121" s="18" t="str">
        <f ca="1">IFERROR(__xludf.DUMMYFUNCTION("GoogleTranslate(A118, ""es"", ""fr"")"),"étoffement")</f>
        <v>étoffement</v>
      </c>
      <c r="F121" s="18" t="str">
        <f ca="1">IFERROR(__xludf.DUMMYFUNCTION("GoogleTranslate(A118, ""es"", ""de"")"),"Fleischbildung")</f>
        <v>Fleischbildung</v>
      </c>
      <c r="G121" s="1"/>
      <c r="H121" s="5"/>
    </row>
    <row r="122" spans="1:8" ht="178.5" x14ac:dyDescent="0.2">
      <c r="A122" s="18" t="s">
        <v>240</v>
      </c>
      <c r="B122" s="18" t="s">
        <v>7</v>
      </c>
      <c r="C122" s="18" t="s">
        <v>241</v>
      </c>
      <c r="D122" s="18" t="str">
        <f ca="1">IFERROR(__xludf.DUMMYFUNCTION("GoogleTranslate(A119, ""es"", ""en"")"),"deliming")</f>
        <v>deliming</v>
      </c>
      <c r="E122" s="18" t="str">
        <f ca="1">IFERROR(__xludf.DUMMYFUNCTION("GoogleTranslate(A119, ""es"", ""fr"")"),"détartrage")</f>
        <v>détartrage</v>
      </c>
      <c r="F122" s="18" t="str">
        <f ca="1">IFERROR(__xludf.DUMMYFUNCTION("GoogleTranslate(A119, ""es"", ""de"")"),"entkalken")</f>
        <v>entkalken</v>
      </c>
      <c r="G122" s="1"/>
      <c r="H122" s="4"/>
    </row>
    <row r="123" spans="1:8" ht="25.5" x14ac:dyDescent="0.2">
      <c r="A123" s="18" t="s">
        <v>242</v>
      </c>
      <c r="B123" s="18" t="s">
        <v>135</v>
      </c>
      <c r="C123" s="18" t="s">
        <v>243</v>
      </c>
      <c r="D123" s="18" t="str">
        <f ca="1">IFERROR(__xludf.DUMMYFUNCTION("GoogleTranslate(A120, ""es"", ""en"")"),"unskirted (leather)")</f>
        <v>unskirted (leather)</v>
      </c>
      <c r="E123" s="18" t="str">
        <f ca="1">IFERROR(__xludf.DUMMYFUNCTION("GoogleTranslate(A120, ""es"", ""fr"")"),"sans jupe (cuir)")</f>
        <v>sans jupe (cuir)</v>
      </c>
      <c r="F123" s="18" t="str">
        <f ca="1">IFERROR(__xludf.DUMMYFUNCTION("GoogleTranslate(A120, ""es"", ""de"")"),"ohne Rock (Leder)")</f>
        <v>ohne Rock (Leder)</v>
      </c>
      <c r="G123" s="1"/>
    </row>
    <row r="124" spans="1:8" ht="25.5" x14ac:dyDescent="0.2">
      <c r="A124" s="18" t="s">
        <v>244</v>
      </c>
      <c r="B124" s="18" t="s">
        <v>7</v>
      </c>
      <c r="C124" s="18" t="s">
        <v>245</v>
      </c>
      <c r="D124" s="18" t="str">
        <f ca="1">IFERROR(__xludf.DUMMYFUNCTION("GoogleTranslate(A121, ""es"", ""en"")"),"deflowered")</f>
        <v>deflowered</v>
      </c>
      <c r="E124" s="18" t="str">
        <f ca="1">IFERROR(__xludf.DUMMYFUNCTION("GoogleTranslate(A121, ""es"", ""fr"")"),"défloré")</f>
        <v>défloré</v>
      </c>
      <c r="F124" s="18" t="str">
        <f ca="1">IFERROR(__xludf.DUMMYFUNCTION("GoogleTranslate(A121, ""es"", ""de"")"),"entjungfert")</f>
        <v>entjungfert</v>
      </c>
      <c r="G124" s="1"/>
    </row>
    <row r="125" spans="1:8" ht="409.5" x14ac:dyDescent="0.2">
      <c r="A125" s="18" t="s">
        <v>246</v>
      </c>
      <c r="B125" s="18" t="s">
        <v>70</v>
      </c>
      <c r="C125" s="18" t="s">
        <v>247</v>
      </c>
      <c r="D125" s="18" t="str">
        <f ca="1">IFERROR(__xludf.DUMMYFUNCTION("GoogleTranslate(A122, ""es"", ""en"")"),"leather deflowering")</f>
        <v>leather deflowering</v>
      </c>
      <c r="E125" s="18" t="str">
        <f ca="1">IFERROR(__xludf.DUMMYFUNCTION("GoogleTranslate(A122, ""es"", ""fr"")"),"dépucelage du cuir")</f>
        <v>dépucelage du cuir</v>
      </c>
      <c r="F125" s="18" t="str">
        <f ca="1">IFERROR(__xludf.DUMMYFUNCTION("GoogleTranslate(A122, ""es"", ""de"")"),"Lederentjungferung")</f>
        <v>Lederentjungferung</v>
      </c>
      <c r="G125" s="1"/>
      <c r="H125" s="5"/>
    </row>
    <row r="126" spans="1:8" ht="38.25" x14ac:dyDescent="0.2">
      <c r="A126" s="18" t="s">
        <v>248</v>
      </c>
      <c r="B126" s="18" t="s">
        <v>46</v>
      </c>
      <c r="C126" s="18" t="s">
        <v>249</v>
      </c>
      <c r="D126" s="18" t="str">
        <f ca="1">IFERROR(__xludf.DUMMYFUNCTION("GoogleTranslate(A123, ""es"", ""en"")"),"solvents")</f>
        <v>solvents</v>
      </c>
      <c r="E126" s="18" t="str">
        <f ca="1">IFERROR(__xludf.DUMMYFUNCTION("GoogleTranslate(A123, ""es"", ""fr"")"),"solvants")</f>
        <v>solvants</v>
      </c>
      <c r="F126" s="18" t="str">
        <f ca="1">IFERROR(__xludf.DUMMYFUNCTION("GoogleTranslate(A123, ""es"", ""de"")"),"Lösungsmittel")</f>
        <v>Lösungsmittel</v>
      </c>
      <c r="G126" s="1"/>
    </row>
    <row r="127" spans="1:8" ht="38.25" x14ac:dyDescent="0.2">
      <c r="A127" s="18" t="s">
        <v>250</v>
      </c>
      <c r="B127" s="18"/>
      <c r="C127" s="18" t="s">
        <v>251</v>
      </c>
      <c r="D127" s="18" t="str">
        <f ca="1">IFERROR(__xludf.DUMMYFUNCTION("GoogleTranslate(A124, ""es"", ""en"")"),"split (skin or leather)")</f>
        <v>split (skin or leather)</v>
      </c>
      <c r="E127" s="18" t="str">
        <f ca="1">IFERROR(__xludf.DUMMYFUNCTION("GoogleTranslate(A124, ""es"", ""fr"")"),"refendu (peau ou cuir)")</f>
        <v>refendu (peau ou cuir)</v>
      </c>
      <c r="F127" s="18" t="str">
        <f ca="1">IFERROR(__xludf.DUMMYFUNCTION("GoogleTranslate(A124, ""es"", ""de"")"),"Spalt (Haut oder Leder)")</f>
        <v>Spalt (Haut oder Leder)</v>
      </c>
      <c r="G127" s="1"/>
      <c r="H127" s="4"/>
    </row>
    <row r="128" spans="1:8" ht="12.75" x14ac:dyDescent="0.2">
      <c r="A128" s="18" t="s">
        <v>252</v>
      </c>
      <c r="B128" s="18"/>
      <c r="C128" s="18" t="s">
        <v>253</v>
      </c>
      <c r="D128" s="18" t="str">
        <f ca="1">IFERROR(__xludf.DUMMYFUNCTION("GoogleTranslate(A125, ""es"", ""en"")"),"doset")</f>
        <v>doset</v>
      </c>
      <c r="E128" s="18" t="str">
        <f ca="1">IFERROR(__xludf.DUMMYFUNCTION("GoogleTranslate(A125, ""es"", ""fr"")"),"dose")</f>
        <v>dose</v>
      </c>
      <c r="F128" s="18" t="str">
        <f ca="1">IFERROR(__xludf.DUMMYFUNCTION("GoogleTranslate(A125, ""es"", ""de"")"),"dosiert")</f>
        <v>dosiert</v>
      </c>
      <c r="G128" s="1"/>
    </row>
    <row r="129" spans="1:8" ht="51" x14ac:dyDescent="0.2">
      <c r="A129" s="18" t="s">
        <v>254</v>
      </c>
      <c r="B129" s="18"/>
      <c r="C129" s="18" t="s">
        <v>255</v>
      </c>
      <c r="D129" s="18" t="str">
        <f ca="1">IFERROR(__xludf.DUMMYFUNCTION("GoogleTranslate(A126, ""es"", ""en"")"),"greasy efflorescence or migration")</f>
        <v>greasy efflorescence or migration</v>
      </c>
      <c r="E129" s="18" t="str">
        <f ca="1">IFERROR(__xludf.DUMMYFUNCTION("GoogleTranslate(A126, ""es"", ""fr"")"),"efflorescence ou migration grasse")</f>
        <v>efflorescence ou migration grasse</v>
      </c>
      <c r="F129" s="18" t="str">
        <f ca="1">IFERROR(__xludf.DUMMYFUNCTION("GoogleTranslate(A126, ""es"", ""de"")"),"fettige Ausblühungen oder Migration")</f>
        <v>fettige Ausblühungen oder Migration</v>
      </c>
      <c r="G129" s="1"/>
      <c r="H129" s="5"/>
    </row>
    <row r="130" spans="1:8" ht="38.25" x14ac:dyDescent="0.2">
      <c r="A130" s="18" t="s">
        <v>256</v>
      </c>
      <c r="B130" s="18"/>
      <c r="C130" s="18" t="s">
        <v>257</v>
      </c>
      <c r="D130" s="18" t="str">
        <f ca="1">IFERROR(__xludf.DUMMYFUNCTION("GoogleTranslate(A127, ""es"", ""en"")"),"packing")</f>
        <v>packing</v>
      </c>
      <c r="E130" s="18" t="str">
        <f ca="1">IFERROR(__xludf.DUMMYFUNCTION("GoogleTranslate(A127, ""es"", ""fr"")"),"emballage")</f>
        <v>emballage</v>
      </c>
      <c r="F130" s="18" t="str">
        <f ca="1">IFERROR(__xludf.DUMMYFUNCTION("GoogleTranslate(A127, ""es"", ""de"")"),"Verpackung")</f>
        <v>Verpackung</v>
      </c>
      <c r="G130" s="1"/>
      <c r="H130" s="4"/>
    </row>
    <row r="131" spans="1:8" ht="51" x14ac:dyDescent="0.2">
      <c r="A131" s="18" t="s">
        <v>258</v>
      </c>
      <c r="B131" s="18"/>
      <c r="C131" s="18" t="s">
        <v>259</v>
      </c>
      <c r="D131" s="18" t="str">
        <f ca="1">IFERROR(__xludf.DUMMYFUNCTION("GoogleTranslate(A128, ""es"", ""en"")"),"natural color upper (leather for)")</f>
        <v>natural color upper (leather for)</v>
      </c>
      <c r="E131" s="18" t="str">
        <f ca="1">IFERROR(__xludf.DUMMYFUNCTION("GoogleTranslate(A128, ""es"", ""fr"")"),"tige de couleur naturelle (cuir pour)")</f>
        <v>tige de couleur naturelle (cuir pour)</v>
      </c>
      <c r="F131" s="18" t="str">
        <f ca="1">IFERROR(__xludf.DUMMYFUNCTION("GoogleTranslate(A128, ""es"", ""de"")"),"naturfarbenes Obermaterial (Leder für)")</f>
        <v>naturfarbenes Obermaterial (Leder für)</v>
      </c>
      <c r="G131" s="1"/>
      <c r="H131" s="4"/>
    </row>
    <row r="132" spans="1:8" ht="38.25" x14ac:dyDescent="0.2">
      <c r="A132" s="18" t="s">
        <v>260</v>
      </c>
      <c r="B132" s="18" t="s">
        <v>208</v>
      </c>
      <c r="C132" s="20" t="s">
        <v>261</v>
      </c>
      <c r="D132" s="18" t="str">
        <f ca="1">IFERROR(__xludf.DUMMYFUNCTION("GoogleTranslate(A129, ""es"", ""en"")"),"whitewashed")</f>
        <v>whitewashed</v>
      </c>
      <c r="E132" s="18" t="str">
        <f ca="1">IFERROR(__xludf.DUMMYFUNCTION("GoogleTranslate(A129, ""es"", ""fr"")"),"blanchi à la chaux")</f>
        <v>blanchi à la chaux</v>
      </c>
      <c r="F132" s="18" t="str">
        <f ca="1">IFERROR(__xludf.DUMMYFUNCTION("GoogleTranslate(A129, ""es"", ""de"")"),"weiß getüncht")</f>
        <v>weiß getüncht</v>
      </c>
      <c r="G132" s="1"/>
    </row>
    <row r="133" spans="1:8" ht="63.75" x14ac:dyDescent="0.2">
      <c r="A133" s="18" t="s">
        <v>262</v>
      </c>
      <c r="B133" s="18"/>
      <c r="C133" s="18" t="s">
        <v>263</v>
      </c>
      <c r="D133" s="18" t="str">
        <f ca="1">IFERROR(__xludf.DUMMYFUNCTION("GoogleTranslate(A130, ""es"", ""en"")"),"oiled (skin or leather)")</f>
        <v>oiled (skin or leather)</v>
      </c>
      <c r="E133" s="18" t="str">
        <f ca="1">IFERROR(__xludf.DUMMYFUNCTION("GoogleTranslate(A130, ""es"", ""fr"")"),"huilé (peau ou cuir)")</f>
        <v>huilé (peau ou cuir)</v>
      </c>
      <c r="F133" s="18" t="str">
        <f ca="1">IFERROR(__xludf.DUMMYFUNCTION("GoogleTranslate(A130, ""es"", ""de"")"),"geölt (Haut oder Leder)")</f>
        <v>geölt (Haut oder Leder)</v>
      </c>
      <c r="G133" s="1"/>
      <c r="H133" s="4"/>
    </row>
    <row r="134" spans="1:8" ht="38.25" x14ac:dyDescent="0.2">
      <c r="A134" s="18" t="s">
        <v>264</v>
      </c>
      <c r="B134" s="18"/>
      <c r="C134" s="18" t="s">
        <v>265</v>
      </c>
      <c r="D134" s="18" t="str">
        <f ca="1">IFERROR(__xludf.DUMMYFUNCTION("GoogleTranslate(A131, ""es"", ""en"")"),"immersion oiled")</f>
        <v>immersion oiled</v>
      </c>
      <c r="E134" s="18" t="str">
        <f ca="1">IFERROR(__xludf.DUMMYFUNCTION("GoogleTranslate(A131, ""es"", ""fr"")"),"huilé par immersion")</f>
        <v>huilé par immersion</v>
      </c>
      <c r="F134" s="18" t="str">
        <f ca="1">IFERROR(__xludf.DUMMYFUNCTION("GoogleTranslate(A131, ""es"", ""de"")"),"tauchgeölt")</f>
        <v>tauchgeölt</v>
      </c>
      <c r="G134" s="1"/>
      <c r="H134" s="4"/>
    </row>
    <row r="135" spans="1:8" ht="38.25" x14ac:dyDescent="0.2">
      <c r="A135" s="18" t="s">
        <v>266</v>
      </c>
      <c r="B135" s="18"/>
      <c r="C135" s="18" t="s">
        <v>267</v>
      </c>
      <c r="D135" s="18" t="str">
        <f ca="1">IFERROR(__xludf.DUMMYFUNCTION("GoogleTranslate(A132, ""es"", ""en"")"),"whole")</f>
        <v>whole</v>
      </c>
      <c r="E135" s="18" t="str">
        <f ca="1">IFERROR(__xludf.DUMMYFUNCTION("GoogleTranslate(A132, ""es"", ""fr"")"),"entier")</f>
        <v>entier</v>
      </c>
      <c r="F135" s="18" t="str">
        <f ca="1">IFERROR(__xludf.DUMMYFUNCTION("GoogleTranslate(A132, ""es"", ""de"")"),"ganz")</f>
        <v>ganz</v>
      </c>
      <c r="G135" s="1"/>
      <c r="H135" s="4"/>
    </row>
    <row r="136" spans="1:8" ht="38.25" x14ac:dyDescent="0.2">
      <c r="A136" s="18" t="s">
        <v>268</v>
      </c>
      <c r="B136" s="18"/>
      <c r="C136" s="18" t="s">
        <v>269</v>
      </c>
      <c r="D136" s="18" t="str">
        <f ca="1">IFERROR(__xludf.DUMMYFUNCTION("GoogleTranslate(A133, ""es"", ""en"")"),"midsoles (leather for)")</f>
        <v>midsoles (leather for)</v>
      </c>
      <c r="E136" s="18" t="str">
        <f ca="1">IFERROR(__xludf.DUMMYFUNCTION("GoogleTranslate(A133, ""es"", ""fr"")"),"semelles intercalaires (cuir pour)")</f>
        <v>semelles intercalaires (cuir pour)</v>
      </c>
      <c r="F136" s="18" t="str">
        <f ca="1">IFERROR(__xludf.DUMMYFUNCTION("GoogleTranslate(A133, ""es"", ""de"")"),"Zwischensohlen (Leder für)")</f>
        <v>Zwischensohlen (Leder für)</v>
      </c>
      <c r="G136" s="1"/>
      <c r="H136" s="4"/>
    </row>
    <row r="137" spans="1:8" ht="12.75" x14ac:dyDescent="0.2">
      <c r="A137" s="18" t="s">
        <v>270</v>
      </c>
      <c r="B137" s="18" t="s">
        <v>7</v>
      </c>
      <c r="C137" s="18" t="s">
        <v>271</v>
      </c>
      <c r="D137" s="18" t="str">
        <f ca="1">IFERROR(__xludf.DUMMYFUNCTION("GoogleTranslate(A134, ""es"", ""en"")"),"aged")</f>
        <v>aged</v>
      </c>
      <c r="E137" s="18" t="str">
        <f ca="1">IFERROR(__xludf.DUMMYFUNCTION("GoogleTranslate(A134, ""es"", ""fr"")"),"vieilli")</f>
        <v>vieilli</v>
      </c>
      <c r="F137" s="18" t="str">
        <f ca="1">IFERROR(__xludf.DUMMYFUNCTION("GoogleTranslate(A134, ""es"", ""de"")"),"alt")</f>
        <v>alt</v>
      </c>
      <c r="G137" s="1"/>
    </row>
    <row r="138" spans="1:8" ht="76.5" x14ac:dyDescent="0.2">
      <c r="A138" s="18" t="s">
        <v>272</v>
      </c>
      <c r="B138" s="18"/>
      <c r="C138" s="18" t="s">
        <v>273</v>
      </c>
      <c r="D138" s="18" t="str">
        <f ca="1">IFERROR(__xludf.DUMMYFUNCTION("GoogleTranslate(A135, ""es"", ""en"")"),"drained")</f>
        <v>drained</v>
      </c>
      <c r="E138" s="18" t="str">
        <f ca="1">IFERROR(__xludf.DUMMYFUNCTION("GoogleTranslate(A135, ""es"", ""fr"")"),"drainé")</f>
        <v>drainé</v>
      </c>
      <c r="F138" s="18" t="str">
        <f ca="1">IFERROR(__xludf.DUMMYFUNCTION("GoogleTranslate(A135, ""es"", ""de"")"),"entwässert")</f>
        <v>entwässert</v>
      </c>
      <c r="G138" s="1"/>
      <c r="H138" s="4"/>
    </row>
    <row r="139" spans="1:8" ht="76.5" x14ac:dyDescent="0.2">
      <c r="A139" s="18" t="s">
        <v>274</v>
      </c>
      <c r="B139" s="18"/>
      <c r="C139" s="18" t="s">
        <v>275</v>
      </c>
      <c r="D139" s="18" t="str">
        <f ca="1">IFERROR(__xludf.DUMMYFUNCTION("GoogleTranslate(A136, ""es"", ""en"")"),"mirror")</f>
        <v>mirror</v>
      </c>
      <c r="E139" s="18" t="str">
        <f ca="1">IFERROR(__xludf.DUMMYFUNCTION("GoogleTranslate(A136, ""es"", ""fr"")"),"miroir")</f>
        <v>miroir</v>
      </c>
      <c r="F139" s="18" t="str">
        <f ca="1">IFERROR(__xludf.DUMMYFUNCTION("GoogleTranslate(A136, ""es"", ""de"")"),"Spiegel")</f>
        <v>Spiegel</v>
      </c>
      <c r="G139" s="1"/>
      <c r="H139" s="4"/>
    </row>
    <row r="140" spans="1:8" ht="38.25" x14ac:dyDescent="0.2">
      <c r="A140" s="18" t="s">
        <v>276</v>
      </c>
      <c r="B140" s="18" t="s">
        <v>46</v>
      </c>
      <c r="C140" s="18" t="s">
        <v>277</v>
      </c>
      <c r="D140" s="18" t="str">
        <f ca="1">IFERROR(__xludf.DUMMYFUNCTION("GoogleTranslate(A137, ""es"", ""en"")"),"thickeners")</f>
        <v>thickeners</v>
      </c>
      <c r="E140" s="18" t="str">
        <f ca="1">IFERROR(__xludf.DUMMYFUNCTION("GoogleTranslate(A137, ""es"", ""fr"")"),"épaississants")</f>
        <v>épaississants</v>
      </c>
      <c r="F140" s="18" t="str">
        <f ca="1">IFERROR(__xludf.DUMMYFUNCTION("GoogleTranslate(A137, ""es"", ""de"")"),"Verdickungsmittel")</f>
        <v>Verdickungsmittel</v>
      </c>
      <c r="G140" s="1"/>
    </row>
    <row r="141" spans="1:8" ht="42" customHeight="1" x14ac:dyDescent="0.2">
      <c r="A141" s="18" t="s">
        <v>278</v>
      </c>
      <c r="B141" s="18" t="s">
        <v>135</v>
      </c>
      <c r="C141" s="18" t="s">
        <v>279</v>
      </c>
      <c r="D141" s="18" t="str">
        <f ca="1">IFERROR(__xludf.DUMMYFUNCTION("GoogleTranslate(A138, ""es"", ""en"")"),"skirt")</f>
        <v>skirt</v>
      </c>
      <c r="E141" s="18" t="str">
        <f ca="1">IFERROR(__xludf.DUMMYFUNCTION("GoogleTranslate(A138, ""es"", ""fr"")"),"jupe")</f>
        <v>jupe</v>
      </c>
      <c r="F141" s="18" t="str">
        <f ca="1">IFERROR(__xludf.DUMMYFUNCTION("GoogleTranslate(A138, ""es"", ""de"")"),"Rock")</f>
        <v>Rock</v>
      </c>
      <c r="G141" s="1"/>
    </row>
    <row r="142" spans="1:8" ht="171.75" customHeight="1" x14ac:dyDescent="0.2">
      <c r="A142" s="18" t="s">
        <v>280</v>
      </c>
      <c r="B142" s="18" t="s">
        <v>150</v>
      </c>
      <c r="C142" s="20" t="s">
        <v>281</v>
      </c>
      <c r="D142" s="18" t="str">
        <f ca="1">IFERROR(__xludf.DUMMYFUNCTION("GoogleTranslate(A139, ""es"", ""en"")"),"manual plush")</f>
        <v>manual plush</v>
      </c>
      <c r="E142" s="18" t="str">
        <f ca="1">IFERROR(__xludf.DUMMYFUNCTION("GoogleTranslate(A139, ""es"", ""fr"")"),"peluche manuelle")</f>
        <v>peluche manuelle</v>
      </c>
      <c r="F142" s="18" t="str">
        <f ca="1">IFERROR(__xludf.DUMMYFUNCTION("GoogleTranslate(A139, ""es"", ""de"")"),"manueller Plüsch")</f>
        <v>manueller Plüsch</v>
      </c>
      <c r="G142" s="7"/>
      <c r="H142" s="6"/>
    </row>
    <row r="143" spans="1:8" ht="151.5" customHeight="1" x14ac:dyDescent="0.2">
      <c r="A143" s="18" t="s">
        <v>282</v>
      </c>
      <c r="B143" s="18" t="s">
        <v>150</v>
      </c>
      <c r="C143" s="20" t="s">
        <v>283</v>
      </c>
      <c r="D143" s="18" t="str">
        <f ca="1">IFERROR(__xludf.DUMMYFUNCTION("GoogleTranslate(A140, ""es"", ""en"")"),"mechanical plush")</f>
        <v>mechanical plush</v>
      </c>
      <c r="E143" s="18" t="str">
        <f ca="1">IFERROR(__xludf.DUMMYFUNCTION("GoogleTranslate(A140, ""es"", ""fr"")"),"peluche mécanique")</f>
        <v>peluche mécanique</v>
      </c>
      <c r="F143" s="18" t="str">
        <f ca="1">IFERROR(__xludf.DUMMYFUNCTION("GoogleTranslate(A140, ""es"", ""de"")"),"mechanischer Plüsch")</f>
        <v>mechanischer Plüsch</v>
      </c>
      <c r="G143" s="1"/>
    </row>
    <row r="144" spans="1:8" ht="51.75" customHeight="1" x14ac:dyDescent="0.2">
      <c r="A144" s="18" t="s">
        <v>284</v>
      </c>
      <c r="B144" s="18"/>
      <c r="C144" s="18" t="s">
        <v>285</v>
      </c>
      <c r="D144" s="18" t="str">
        <f ca="1">IFERROR(__xludf.DUMMYFUNCTION("GoogleTranslate(A141, ""es"", ""en"")"),"flexible (leather)")</f>
        <v>flexible (leather)</v>
      </c>
      <c r="E144" s="18" t="str">
        <f ca="1">IFERROR(__xludf.DUMMYFUNCTION("GoogleTranslate(A141, ""es"", ""fr"")"),"souple (cuir)")</f>
        <v>souple (cuir)</v>
      </c>
      <c r="F144" s="18" t="str">
        <f ca="1">IFERROR(__xludf.DUMMYFUNCTION("GoogleTranslate(A141, ""es"", ""de"")"),"flexibel (Leder)")</f>
        <v>flexibel (Leder)</v>
      </c>
      <c r="G144" s="1"/>
      <c r="H144" s="5"/>
    </row>
    <row r="145" spans="1:8" ht="51" x14ac:dyDescent="0.2">
      <c r="A145" s="18" t="s">
        <v>286</v>
      </c>
      <c r="B145" s="18" t="s">
        <v>135</v>
      </c>
      <c r="C145" s="18" t="s">
        <v>287</v>
      </c>
      <c r="D145" s="18" t="str">
        <f ca="1">IFERROR(__xludf.DUMMYFUNCTION("GoogleTranslate(A142, ""es"", ""en"")"),"flower")</f>
        <v>flower</v>
      </c>
      <c r="E145" s="18" t="str">
        <f ca="1">IFERROR(__xludf.DUMMYFUNCTION("GoogleTranslate(A142, ""es"", ""fr"")"),"fleur")</f>
        <v>fleur</v>
      </c>
      <c r="F145" s="18" t="str">
        <f ca="1">IFERROR(__xludf.DUMMYFUNCTION("GoogleTranslate(A142, ""es"", ""de"")"),"Blume")</f>
        <v>Blume</v>
      </c>
      <c r="G145" s="1"/>
    </row>
    <row r="146" spans="1:8" ht="38.25" x14ac:dyDescent="0.2">
      <c r="A146" s="18" t="s">
        <v>288</v>
      </c>
      <c r="B146" s="18" t="s">
        <v>135</v>
      </c>
      <c r="C146" s="18" t="s">
        <v>289</v>
      </c>
      <c r="D146" s="18" t="str">
        <f ca="1">IFERROR(__xludf.DUMMYFUNCTION("GoogleTranslate(A143, ""es"", ""en"")"),"corrected flower")</f>
        <v>corrected flower</v>
      </c>
      <c r="E146" s="18" t="str">
        <f ca="1">IFERROR(__xludf.DUMMYFUNCTION("GoogleTranslate(A143, ""es"", ""fr"")"),"fleur corrigée")</f>
        <v>fleur corrigée</v>
      </c>
      <c r="F146" s="18" t="str">
        <f ca="1">IFERROR(__xludf.DUMMYFUNCTION("GoogleTranslate(A143, ""es"", ""de"")"),"korrigierte Blume")</f>
        <v>korrigierte Blume</v>
      </c>
      <c r="G146" s="1"/>
    </row>
    <row r="147" spans="1:8" ht="36.75" customHeight="1" x14ac:dyDescent="0.2">
      <c r="A147" s="18" t="s">
        <v>288</v>
      </c>
      <c r="B147" s="18"/>
      <c r="C147" s="18" t="s">
        <v>290</v>
      </c>
      <c r="D147" s="18" t="str">
        <f ca="1">IFERROR(__xludf.DUMMYFUNCTION("GoogleTranslate(A144, ""es"", ""en"")"),"corrected flower")</f>
        <v>corrected flower</v>
      </c>
      <c r="E147" s="18" t="str">
        <f ca="1">IFERROR(__xludf.DUMMYFUNCTION("GoogleTranslate(A144, ""es"", ""fr"")"),"fleur corrigée")</f>
        <v>fleur corrigée</v>
      </c>
      <c r="F147" s="18" t="str">
        <f ca="1">IFERROR(__xludf.DUMMYFUNCTION("GoogleTranslate(A144, ""es"", ""de"")"),"korrigierte Blume")</f>
        <v>korrigierte Blume</v>
      </c>
      <c r="G147" s="1"/>
      <c r="H147" s="4"/>
    </row>
    <row r="148" spans="1:8" ht="47.25" customHeight="1" x14ac:dyDescent="0.2">
      <c r="A148" s="18" t="s">
        <v>291</v>
      </c>
      <c r="B148" s="18"/>
      <c r="C148" s="18" t="s">
        <v>292</v>
      </c>
      <c r="D148" s="18" t="str">
        <f ca="1">IFERROR(__xludf.DUMMYFUNCTION("GoogleTranslate(A145, ""es"", ""en"")"),"twitched flower")</f>
        <v>twitched flower</v>
      </c>
      <c r="E148" s="18" t="str">
        <f ca="1">IFERROR(__xludf.DUMMYFUNCTION("GoogleTranslate(A145, ""es"", ""fr"")"),"fleur tremblante")</f>
        <v>fleur tremblante</v>
      </c>
      <c r="F148" s="18" t="str">
        <f ca="1">IFERROR(__xludf.DUMMYFUNCTION("GoogleTranslate(A145, ""es"", ""de"")"),"zuckende Blume")</f>
        <v>zuckende Blume</v>
      </c>
      <c r="G148" s="1"/>
    </row>
    <row r="149" spans="1:8" ht="25.5" x14ac:dyDescent="0.2">
      <c r="A149" s="18" t="s">
        <v>293</v>
      </c>
      <c r="B149" s="18"/>
      <c r="C149" s="18" t="s">
        <v>294</v>
      </c>
      <c r="D149" s="18" t="str">
        <f ca="1">IFERROR(__xludf.DUMMYFUNCTION("GoogleTranslate(A146, ""es"", ""en"")"),"engraved flower")</f>
        <v>engraved flower</v>
      </c>
      <c r="E149" s="18" t="str">
        <f ca="1">IFERROR(__xludf.DUMMYFUNCTION("GoogleTranslate(A146, ""es"", ""fr"")"),"fleur gravée")</f>
        <v>fleur gravée</v>
      </c>
      <c r="F149" s="18" t="str">
        <f ca="1">IFERROR(__xludf.DUMMYFUNCTION("GoogleTranslate(A146, ""es"", ""de"")"),"gravierte Blume")</f>
        <v>gravierte Blume</v>
      </c>
      <c r="G149" s="1"/>
      <c r="H149" s="5"/>
    </row>
    <row r="150" spans="1:8" ht="38.25" x14ac:dyDescent="0.2">
      <c r="A150" s="18" t="s">
        <v>295</v>
      </c>
      <c r="B150" s="18"/>
      <c r="C150" s="18" t="s">
        <v>296</v>
      </c>
      <c r="D150" s="18" t="str">
        <f ca="1">IFERROR(__xludf.DUMMYFUNCTION("GoogleTranslate(A147, ""es"", ""en"")"),"grained flower")</f>
        <v>grained flower</v>
      </c>
      <c r="E150" s="18" t="str">
        <f ca="1">IFERROR(__xludf.DUMMYFUNCTION("GoogleTranslate(A147, ""es"", ""fr"")"),"fleur à grains")</f>
        <v>fleur à grains</v>
      </c>
      <c r="F150" s="18" t="str">
        <f ca="1">IFERROR(__xludf.DUMMYFUNCTION("GoogleTranslate(A147, ""es"", ""de"")"),"gekörnte Blüte")</f>
        <v>gekörnte Blüte</v>
      </c>
      <c r="G150" s="1"/>
      <c r="H150" s="4"/>
    </row>
    <row r="151" spans="1:8" ht="25.5" x14ac:dyDescent="0.2">
      <c r="A151" s="18" t="s">
        <v>297</v>
      </c>
      <c r="B151" s="18"/>
      <c r="C151" s="18" t="s">
        <v>298</v>
      </c>
      <c r="D151" s="18" t="str">
        <f ca="1">IFERROR(__xludf.DUMMYFUNCTION("GoogleTranslate(A148, ""es"", ""en"")"),"seal (skin)")</f>
        <v>seal (skin)</v>
      </c>
      <c r="E151" s="18" t="str">
        <f ca="1">IFERROR(__xludf.DUMMYFUNCTION("GoogleTranslate(A148, ""es"", ""fr"")"),"phoque (peau)")</f>
        <v>phoque (peau)</v>
      </c>
      <c r="F151" s="18" t="str">
        <f ca="1">IFERROR(__xludf.DUMMYFUNCTION("GoogleTranslate(A148, ""es"", ""de"")"),"Robbe (Haut)")</f>
        <v>Robbe (Haut)</v>
      </c>
      <c r="G151" s="1"/>
      <c r="H151" s="4"/>
    </row>
    <row r="152" spans="1:8" ht="63.75" x14ac:dyDescent="0.2">
      <c r="A152" s="18" t="s">
        <v>299</v>
      </c>
      <c r="B152" s="18"/>
      <c r="C152" s="18" t="s">
        <v>300</v>
      </c>
      <c r="D152" s="18" t="str">
        <f ca="1">IFERROR(__xludf.DUMMYFUNCTION("GoogleTranslate(A149, ""es"", ""en"")"),"shoe bottoms (leathers for)")</f>
        <v>shoe bottoms (leathers for)</v>
      </c>
      <c r="E152" s="18" t="str">
        <f ca="1">IFERROR(__xludf.DUMMYFUNCTION("GoogleTranslate(A149, ""es"", ""fr"")"),"bas de chaussures (cuirs pour)")</f>
        <v>bas de chaussures (cuirs pour)</v>
      </c>
      <c r="F152" s="18" t="str">
        <f ca="1">IFERROR(__xludf.DUMMYFUNCTION("GoogleTranslate(A149, ""es"", ""de"")"),"Schuhböden (Leder für)")</f>
        <v>Schuhböden (Leder für)</v>
      </c>
      <c r="G152" s="1"/>
      <c r="H152" s="4"/>
    </row>
    <row r="153" spans="1:8" ht="38.25" x14ac:dyDescent="0.2">
      <c r="A153" s="18" t="s">
        <v>301</v>
      </c>
      <c r="B153" s="18" t="s">
        <v>70</v>
      </c>
      <c r="C153" s="21" t="s">
        <v>302</v>
      </c>
      <c r="D153" s="18" t="str">
        <f ca="1">IFERROR(__xludf.DUMMYFUNCTION("GoogleTranslate(A150, ""es"", ""en"")"),"suede")</f>
        <v>suede</v>
      </c>
      <c r="E153" s="18" t="str">
        <f ca="1">IFERROR(__xludf.DUMMYFUNCTION("GoogleTranslate(A150, ""es"", ""fr"")"),"suède")</f>
        <v>suède</v>
      </c>
      <c r="F153" s="18" t="str">
        <f ca="1">IFERROR(__xludf.DUMMYFUNCTION("GoogleTranslate(A150, ""es"", ""de"")"),"Wildleder")</f>
        <v>Wildleder</v>
      </c>
      <c r="G153" s="1"/>
    </row>
    <row r="154" spans="1:8" ht="63.75" x14ac:dyDescent="0.2">
      <c r="A154" s="18" t="s">
        <v>303</v>
      </c>
      <c r="B154" s="18"/>
      <c r="C154" s="18" t="s">
        <v>304</v>
      </c>
      <c r="D154" s="18" t="str">
        <f ca="1">IFERROR(__xludf.DUMMYFUNCTION("GoogleTranslate(A151, ""es"", ""en"")"),"suede (suede)")</f>
        <v>suede (suede)</v>
      </c>
      <c r="E154" s="18" t="str">
        <f ca="1">IFERROR(__xludf.DUMMYFUNCTION("GoogleTranslate(A151, ""es"", ""fr"")"),"daim (daim)")</f>
        <v>daim (daim)</v>
      </c>
      <c r="F154" s="18" t="str">
        <f ca="1">IFERROR(__xludf.DUMMYFUNCTION("GoogleTranslate(A151, ""es"", ""de"")"),"Wildleder (Wildleder)")</f>
        <v>Wildleder (Wildleder)</v>
      </c>
      <c r="G154" s="1"/>
      <c r="H154" s="4"/>
    </row>
    <row r="155" spans="1:8" ht="102" x14ac:dyDescent="0.2">
      <c r="A155" s="18" t="s">
        <v>305</v>
      </c>
      <c r="B155" s="18"/>
      <c r="C155" s="18" t="s">
        <v>306</v>
      </c>
      <c r="D155" s="18" t="str">
        <f ca="1">IFERROR(__xludf.DUMMYFUNCTION("GoogleTranslate(A152, ""es"", ""en"")"),"CHEATMOUS (For cleaning)")</f>
        <v>CHEATMOUS (For cleaning)</v>
      </c>
      <c r="E155" s="18" t="str">
        <f ca="1">IFERROR(__xludf.DUMMYFUNCTION("GoogleTranslate(A152, ""es"", ""fr"")"),"CHEATMOUS (Pour le nettoyage)")</f>
        <v>CHEATMOUS (Pour le nettoyage)</v>
      </c>
      <c r="F155" s="18" t="str">
        <f ca="1">IFERROR(__xludf.DUMMYFUNCTION("GoogleTranslate(A152, ""es"", ""de"")"),"CHEATMOUS (Zur Reinigung)")</f>
        <v>CHEATMOUS (Zur Reinigung)</v>
      </c>
      <c r="G155" s="1"/>
      <c r="H155" s="4"/>
    </row>
    <row r="156" spans="1:8" ht="50.25" customHeight="1" x14ac:dyDescent="0.2">
      <c r="A156" s="18" t="s">
        <v>307</v>
      </c>
      <c r="B156" s="18"/>
      <c r="C156" s="18" t="s">
        <v>308</v>
      </c>
      <c r="D156" s="18" t="str">
        <f ca="1">IFERROR(__xludf.DUMMYFUNCTION("GoogleTranslate(A153, ""es"", ""en"")"),"glacé")</f>
        <v>glacé</v>
      </c>
      <c r="E156" s="18" t="str">
        <f ca="1">IFERROR(__xludf.DUMMYFUNCTION("GoogleTranslate(A153, ""es"", ""fr"")"),"glacé")</f>
        <v>glacé</v>
      </c>
      <c r="F156" s="18" t="str">
        <f ca="1">IFERROR(__xludf.DUMMYFUNCTION("GoogleTranslate(A153, ""es"", ""de"")"),"glasiert")</f>
        <v>glasiert</v>
      </c>
      <c r="G156" s="7"/>
      <c r="H156" s="4"/>
    </row>
    <row r="157" spans="1:8" ht="51" x14ac:dyDescent="0.2">
      <c r="A157" s="18" t="s">
        <v>309</v>
      </c>
      <c r="B157" s="18" t="s">
        <v>7</v>
      </c>
      <c r="C157" s="18" t="s">
        <v>310</v>
      </c>
      <c r="D157" s="18" t="str">
        <f ca="1">IFERROR(__xludf.DUMMYFUNCTION("GoogleTranslate(A154, ""es"", ""en"")"),"Recorded")</f>
        <v>Recorded</v>
      </c>
      <c r="E157" s="18" t="str">
        <f ca="1">IFERROR(__xludf.DUMMYFUNCTION("GoogleTranslate(A154, ""es"", ""fr"")"),"Enregistré")</f>
        <v>Enregistré</v>
      </c>
      <c r="F157" s="18" t="str">
        <f ca="1">IFERROR(__xludf.DUMMYFUNCTION("GoogleTranslate(A154, ""es"", ""de"")"),"Verzeichnet")</f>
        <v>Verzeichnet</v>
      </c>
      <c r="G157" s="1"/>
    </row>
    <row r="158" spans="1:8" ht="38.25" x14ac:dyDescent="0.2">
      <c r="A158" s="18" t="s">
        <v>311</v>
      </c>
      <c r="B158" s="18"/>
      <c r="C158" s="18" t="s">
        <v>312</v>
      </c>
      <c r="D158" s="18" t="str">
        <f ca="1">IFERROR(__xludf.DUMMYFUNCTION("GoogleTranslate(A155, ""es"", ""en"")"),"engraving (skin or leather)")</f>
        <v>engraving (skin or leather)</v>
      </c>
      <c r="E158" s="18" t="str">
        <f ca="1">IFERROR(__xludf.DUMMYFUNCTION("GoogleTranslate(A155, ""es"", ""fr"")"),"gravure (peau ou cuir)")</f>
        <v>gravure (peau ou cuir)</v>
      </c>
      <c r="F158" s="18" t="str">
        <f ca="1">IFERROR(__xludf.DUMMYFUNCTION("GoogleTranslate(A155, ""es"", ""de"")"),"Gravur (Haut oder Leder)")</f>
        <v>Gravur (Haut oder Leder)</v>
      </c>
      <c r="G158" s="1"/>
      <c r="H158" s="4"/>
    </row>
    <row r="159" spans="1:8" ht="63.75" x14ac:dyDescent="0.2">
      <c r="A159" s="18" t="s">
        <v>313</v>
      </c>
      <c r="B159" s="18"/>
      <c r="C159" s="18" t="s">
        <v>314</v>
      </c>
      <c r="D159" s="18" t="str">
        <f ca="1">IFERROR(__xludf.DUMMYFUNCTION("GoogleTranslate(A156, ""es"", ""en"")"),"grained (skin or leather)")</f>
        <v>grained (skin or leather)</v>
      </c>
      <c r="E159" s="18" t="str">
        <f ca="1">IFERROR(__xludf.DUMMYFUNCTION("GoogleTranslate(A156, ""es"", ""fr"")"),"grainé (peau ou cuir)")</f>
        <v>grainé (peau ou cuir)</v>
      </c>
      <c r="F159" s="18" t="str">
        <f ca="1">IFERROR(__xludf.DUMMYFUNCTION("GoogleTranslate(A156, ""es"", ""de"")"),"genarbt (Haut oder Leder)")</f>
        <v>genarbt (Haut oder Leder)</v>
      </c>
      <c r="G159" s="3"/>
      <c r="H159" s="5"/>
    </row>
    <row r="160" spans="1:8" ht="38.25" x14ac:dyDescent="0.2">
      <c r="A160" s="18" t="s">
        <v>315</v>
      </c>
      <c r="B160" s="18"/>
      <c r="C160" s="18" t="s">
        <v>316</v>
      </c>
      <c r="D160" s="18" t="str">
        <f ca="1">IFERROR(__xludf.DUMMYFUNCTION("GoogleTranslate(A157, ""es"", ""en"")"),"washable glove box")</f>
        <v>washable glove box</v>
      </c>
      <c r="E160" s="18" t="str">
        <f ca="1">IFERROR(__xludf.DUMMYFUNCTION("GoogleTranslate(A157, ""es"", ""fr"")"),"boîte à gants lavable")</f>
        <v>boîte à gants lavable</v>
      </c>
      <c r="F160" s="18" t="str">
        <f ca="1">IFERROR(__xludf.DUMMYFUNCTION("GoogleTranslate(A157, ""es"", ""de"")"),"waschbares Handschuhfach")</f>
        <v>waschbares Handschuhfach</v>
      </c>
      <c r="G160" s="7"/>
      <c r="H160" s="4"/>
    </row>
    <row r="161" spans="1:8" ht="63.75" x14ac:dyDescent="0.2">
      <c r="A161" s="18" t="s">
        <v>317</v>
      </c>
      <c r="B161" s="18"/>
      <c r="C161" s="18" t="s">
        <v>318</v>
      </c>
      <c r="D161" s="18" t="str">
        <f ca="1">IFERROR(__xludf.DUMMYFUNCTION("GoogleTranslate(A158, ""es"", ""en"")"),"card garnishes (leather for)")</f>
        <v>card garnishes (leather for)</v>
      </c>
      <c r="E161" s="18" t="str">
        <f ca="1">IFERROR(__xludf.DUMMYFUNCTION("GoogleTranslate(A158, ""es"", ""fr"")"),"garnitures de cartes (cuir pour)")</f>
        <v>garnitures de cartes (cuir pour)</v>
      </c>
      <c r="F161" s="18" t="str">
        <f ca="1">IFERROR(__xludf.DUMMYFUNCTION("GoogleTranslate(A158, ""es"", ""de"")"),"Kartenverzierungen (Leder für)")</f>
        <v>Kartenverzierungen (Leder für)</v>
      </c>
      <c r="G161" s="1"/>
      <c r="H161" s="4"/>
    </row>
    <row r="162" spans="1:8" ht="89.25" x14ac:dyDescent="0.2">
      <c r="A162" s="18" t="s">
        <v>319</v>
      </c>
      <c r="B162" s="18"/>
      <c r="C162" s="18" t="s">
        <v>320</v>
      </c>
      <c r="D162" s="18" t="str">
        <f ca="1">IFERROR(__xludf.DUMMYFUNCTION("GoogleTranslate(A159, ""es"", ""en"")"),"water-repellent")</f>
        <v>water-repellent</v>
      </c>
      <c r="E162" s="18" t="str">
        <f ca="1">IFERROR(__xludf.DUMMYFUNCTION("GoogleTranslate(A159, ""es"", ""fr"")"),"hydrofuge")</f>
        <v>hydrofuge</v>
      </c>
      <c r="F162" s="18" t="str">
        <f ca="1">IFERROR(__xludf.DUMMYFUNCTION("GoogleTranslate(A159, ""es"", ""de"")"),"wasserabweisend")</f>
        <v>wasserabweisend</v>
      </c>
      <c r="G162" s="3"/>
      <c r="H162" s="5"/>
    </row>
    <row r="163" spans="1:8" ht="76.5" x14ac:dyDescent="0.2">
      <c r="A163" s="18" t="s">
        <v>321</v>
      </c>
      <c r="B163" s="18"/>
      <c r="C163" s="18" t="s">
        <v>322</v>
      </c>
      <c r="D163" s="18" t="str">
        <f ca="1">IFERROR(__xludf.DUMMYFUNCTION("GoogleTranslate(A160, ""es"", ""en"")"),"hydrolacquers")</f>
        <v>hydrolacquers</v>
      </c>
      <c r="E163" s="18" t="str">
        <f ca="1">IFERROR(__xludf.DUMMYFUNCTION("GoogleTranslate(A160, ""es"", ""fr"")"),"hydrolaques")</f>
        <v>hydrolaques</v>
      </c>
      <c r="F163" s="18" t="str">
        <f ca="1">IFERROR(__xludf.DUMMYFUNCTION("GoogleTranslate(A160, ""es"", ""de"")"),"Hydrolacke")</f>
        <v>Hydrolacke</v>
      </c>
      <c r="G163" s="7"/>
      <c r="H163" s="4"/>
    </row>
    <row r="164" spans="1:8" ht="25.5" x14ac:dyDescent="0.2">
      <c r="A164" s="18" t="s">
        <v>323</v>
      </c>
      <c r="B164" s="18" t="s">
        <v>135</v>
      </c>
      <c r="C164" s="18" t="s">
        <v>324</v>
      </c>
      <c r="D164" s="18" t="str">
        <f ca="1">IFERROR(__xludf.DUMMYFUNCTION("GoogleTranslate(A161, ""es"", ""en"")"),"sheet")</f>
        <v>sheet</v>
      </c>
      <c r="E164" s="18" t="str">
        <f ca="1">IFERROR(__xludf.DUMMYFUNCTION("GoogleTranslate(A161, ""es"", ""fr"")"),"feuille")</f>
        <v>feuille</v>
      </c>
      <c r="F164" s="18" t="str">
        <f ca="1">IFERROR(__xludf.DUMMYFUNCTION("GoogleTranslate(A161, ""es"", ""de"")"),"Blatt")</f>
        <v>Blatt</v>
      </c>
      <c r="G164" s="1"/>
    </row>
    <row r="165" spans="1:8" ht="38.25" x14ac:dyDescent="0.2">
      <c r="A165" s="18" t="s">
        <v>323</v>
      </c>
      <c r="B165" s="18"/>
      <c r="C165" s="18" t="s">
        <v>325</v>
      </c>
      <c r="D165" s="18" t="str">
        <f ca="1">IFERROR(__xludf.DUMMYFUNCTION("GoogleTranslate(A162, ""es"", ""en"")"),"sheet")</f>
        <v>sheet</v>
      </c>
      <c r="E165" s="18" t="str">
        <f ca="1">IFERROR(__xludf.DUMMYFUNCTION("GoogleTranslate(A162, ""es"", ""fr"")"),"feuille")</f>
        <v>feuille</v>
      </c>
      <c r="F165" s="18" t="str">
        <f ca="1">IFERROR(__xludf.DUMMYFUNCTION("GoogleTranslate(A162, ""es"", ""de"")"),"Blatt")</f>
        <v>Blatt</v>
      </c>
      <c r="G165" s="1"/>
      <c r="H165" s="4"/>
    </row>
    <row r="166" spans="1:8" ht="153" x14ac:dyDescent="0.2">
      <c r="A166" s="18" t="s">
        <v>326</v>
      </c>
      <c r="B166" s="18"/>
      <c r="C166" s="18" t="s">
        <v>327</v>
      </c>
      <c r="D166" s="18" t="str">
        <f ca="1">IFERROR(__xludf.DUMMYFUNCTION("GoogleTranslate(A163, ""es"", ""en"")"),"moisturizing")</f>
        <v>moisturizing</v>
      </c>
      <c r="E166" s="18" t="str">
        <f ca="1">IFERROR(__xludf.DUMMYFUNCTION("GoogleTranslate(A163, ""es"", ""fr"")"),"hydratant")</f>
        <v>hydratant</v>
      </c>
      <c r="F166" s="18" t="str">
        <f ca="1">IFERROR(__xludf.DUMMYFUNCTION("GoogleTranslate(A163, ""es"", ""de"")"),"feuchtigkeitsspendend")</f>
        <v>feuchtigkeitsspendend</v>
      </c>
      <c r="G166" s="3"/>
      <c r="H166" s="4"/>
    </row>
    <row r="167" spans="1:8" ht="63.75" x14ac:dyDescent="0.2">
      <c r="A167" s="18" t="s">
        <v>328</v>
      </c>
      <c r="B167" s="18"/>
      <c r="C167" s="18" t="s">
        <v>329</v>
      </c>
      <c r="D167" s="18" t="str">
        <f ca="1">IFERROR(__xludf.DUMMYFUNCTION("GoogleTranslate(A164, ""es"", ""en"")"),"antique imitation leather")</f>
        <v>antique imitation leather</v>
      </c>
      <c r="E167" s="18" t="str">
        <f ca="1">IFERROR(__xludf.DUMMYFUNCTION("GoogleTranslate(A164, ""es"", ""fr"")"),"simili cuir ancien")</f>
        <v>simili cuir ancien</v>
      </c>
      <c r="F167" s="18" t="str">
        <f ca="1">IFERROR(__xludf.DUMMYFUNCTION("GoogleTranslate(A164, ""es"", ""de"")"),"antikes Kunstleder")</f>
        <v>antikes Kunstleder</v>
      </c>
      <c r="G167" s="7"/>
      <c r="H167" s="6"/>
    </row>
    <row r="168" spans="1:8" ht="51" x14ac:dyDescent="0.2">
      <c r="A168" s="18" t="s">
        <v>330</v>
      </c>
      <c r="B168" s="18"/>
      <c r="C168" s="18" t="s">
        <v>331</v>
      </c>
      <c r="D168" s="18" t="str">
        <f ca="1">IFERROR(__xludf.DUMMYFUNCTION("GoogleTranslate(A165, ""es"", ""en"")"),"waterproof (skin or leather)")</f>
        <v>waterproof (skin or leather)</v>
      </c>
      <c r="E168" s="18" t="str">
        <f ca="1">IFERROR(__xludf.DUMMYFUNCTION("GoogleTranslate(A165, ""es"", ""fr"")"),"imperméable (peau ou cuir)")</f>
        <v>imperméable (peau ou cuir)</v>
      </c>
      <c r="F168" s="18" t="str">
        <f ca="1">IFERROR(__xludf.DUMMYFUNCTION("GoogleTranslate(A165, ""es"", ""de"")"),"wasserdicht (Haut oder Leder)")</f>
        <v>wasserdicht (Haut oder Leder)</v>
      </c>
      <c r="G168" s="1"/>
      <c r="H168" s="6"/>
    </row>
    <row r="169" spans="1:8" ht="409.5" x14ac:dyDescent="0.2">
      <c r="A169" s="18" t="s">
        <v>332</v>
      </c>
      <c r="B169" s="18"/>
      <c r="C169" s="18" t="s">
        <v>333</v>
      </c>
      <c r="D169" s="18" t="str">
        <f ca="1">IFERROR(__xludf.DUMMYFUNCTION("GoogleTranslate(A166, ""es"", ""en"")"),"impregnation or pre-bottom")</f>
        <v>impregnation or pre-bottom</v>
      </c>
      <c r="E169" s="18" t="str">
        <f ca="1">IFERROR(__xludf.DUMMYFUNCTION("GoogleTranslate(A166, ""es"", ""fr"")"),"imprégnation ou pré-fond")</f>
        <v>imprégnation ou pré-fond</v>
      </c>
      <c r="F169" s="18" t="str">
        <f ca="1">IFERROR(__xludf.DUMMYFUNCTION("GoogleTranslate(A166, ""es"", ""de"")"),"Imprägnierung oder Vorboden")</f>
        <v>Imprägnierung oder Vorboden</v>
      </c>
      <c r="G169" s="3"/>
      <c r="H169" s="6"/>
    </row>
    <row r="170" spans="1:8" ht="63.75" x14ac:dyDescent="0.2">
      <c r="A170" s="18" t="s">
        <v>334</v>
      </c>
      <c r="B170" s="18"/>
      <c r="C170" s="18" t="s">
        <v>335</v>
      </c>
      <c r="D170" s="18" t="str">
        <f ca="1">IFERROR(__xludf.DUMMYFUNCTION("GoogleTranslate(A167, ""es"", ""en"")"),"impregnated (skin or leather)")</f>
        <v>impregnated (skin or leather)</v>
      </c>
      <c r="E170" s="18" t="str">
        <f ca="1">IFERROR(__xludf.DUMMYFUNCTION("GoogleTranslate(A167, ""es"", ""fr"")"),"imprégné (peau ou cuir)")</f>
        <v>imprégné (peau ou cuir)</v>
      </c>
      <c r="F170" s="18" t="str">
        <f ca="1">IFERROR(__xludf.DUMMYFUNCTION("GoogleTranslate(A167, ""es"", ""de"")"),"imprägniert (Haut oder Leder)")</f>
        <v>imprägniert (Haut oder Leder)</v>
      </c>
      <c r="G170" s="7"/>
      <c r="H170" s="6"/>
    </row>
    <row r="171" spans="1:8" ht="63.75" x14ac:dyDescent="0.2">
      <c r="A171" s="18" t="s">
        <v>336</v>
      </c>
      <c r="B171" s="18" t="s">
        <v>337</v>
      </c>
      <c r="C171" s="18" t="s">
        <v>338</v>
      </c>
      <c r="D171" s="18" t="str">
        <f ca="1">IFERROR(__xludf.DUMMYFUNCTION("GoogleTranslate(A168, ""es"", ""en"")"),"soapy")</f>
        <v>soapy</v>
      </c>
      <c r="E171" s="18" t="str">
        <f ca="1">IFERROR(__xludf.DUMMYFUNCTION("GoogleTranslate(A168, ""es"", ""fr"")"),"savonneux")</f>
        <v>savonneux</v>
      </c>
      <c r="F171" s="18" t="str">
        <f ca="1">IFERROR(__xludf.DUMMYFUNCTION("GoogleTranslate(A168, ""es"", ""de"")"),"seifig")</f>
        <v>seifig</v>
      </c>
      <c r="G171" s="1"/>
    </row>
    <row r="172" spans="1:8" ht="76.5" x14ac:dyDescent="0.2">
      <c r="A172" s="18" t="s">
        <v>339</v>
      </c>
      <c r="B172" s="18" t="s">
        <v>46</v>
      </c>
      <c r="C172" s="18" t="s">
        <v>340</v>
      </c>
      <c r="D172" s="18" t="str">
        <f ca="1">IFERROR(__xludf.DUMMYFUNCTION("GoogleTranslate(A169, ""es"", ""en"")"),"lacquer")</f>
        <v>lacquer</v>
      </c>
      <c r="E172" s="18" t="str">
        <f ca="1">IFERROR(__xludf.DUMMYFUNCTION("GoogleTranslate(A169, ""es"", ""fr"")"),"laque")</f>
        <v>laque</v>
      </c>
      <c r="F172" s="18" t="str">
        <f ca="1">IFERROR(__xludf.DUMMYFUNCTION("GoogleTranslate(A169, ""es"", ""de"")"),"Lack")</f>
        <v>Lack</v>
      </c>
      <c r="G172" s="1"/>
    </row>
    <row r="173" spans="1:8" ht="409.5" x14ac:dyDescent="0.2">
      <c r="A173" s="18" t="s">
        <v>341</v>
      </c>
      <c r="B173" s="18"/>
      <c r="C173" s="18" t="s">
        <v>342</v>
      </c>
      <c r="D173" s="18" t="str">
        <f ca="1">IFERROR(__xludf.DUMMYFUNCTION("GoogleTranslate(A170, ""es"", ""en"")"),"lacquers")</f>
        <v>lacquers</v>
      </c>
      <c r="E173" s="18" t="str">
        <f ca="1">IFERROR(__xludf.DUMMYFUNCTION("GoogleTranslate(A170, ""es"", ""fr"")"),"laques")</f>
        <v>laques</v>
      </c>
      <c r="F173" s="18" t="str">
        <f ca="1">IFERROR(__xludf.DUMMYFUNCTION("GoogleTranslate(A170, ""es"", ""de"")"),"Lacke")</f>
        <v>Lacke</v>
      </c>
      <c r="G173" s="1"/>
      <c r="H173" s="8"/>
    </row>
    <row r="174" spans="1:8" ht="38.25" x14ac:dyDescent="0.2">
      <c r="A174" s="18" t="s">
        <v>343</v>
      </c>
      <c r="B174" s="18"/>
      <c r="C174" s="18" t="s">
        <v>344</v>
      </c>
      <c r="D174" s="18" t="str">
        <f ca="1">IFERROR(__xludf.DUMMYFUNCTION("GoogleTranslate(A171, ""es"", ""en"")"),"washable (skin or leather)")</f>
        <v>washable (skin or leather)</v>
      </c>
      <c r="E174" s="18" t="str">
        <f ca="1">IFERROR(__xludf.DUMMYFUNCTION("GoogleTranslate(A171, ""es"", ""fr"")"),"lavable (peau ou cuir)")</f>
        <v>lavable (peau ou cuir)</v>
      </c>
      <c r="F174" s="18" t="str">
        <f ca="1">IFERROR(__xludf.DUMMYFUNCTION("GoogleTranslate(A171, ""es"", ""de"")"),"waschbar (Haut oder Leder)")</f>
        <v>waschbar (Haut oder Leder)</v>
      </c>
      <c r="G174" s="3"/>
      <c r="H174" s="6"/>
    </row>
    <row r="175" spans="1:8" ht="395.25" x14ac:dyDescent="0.2">
      <c r="A175" s="18" t="s">
        <v>345</v>
      </c>
      <c r="B175" s="18"/>
      <c r="C175" s="18" t="s">
        <v>346</v>
      </c>
      <c r="D175" s="18" t="str">
        <f ca="1">IFERROR(__xludf.DUMMYFUNCTION("GoogleTranslate(A172, ""es"", ""en"")"),"binder")</f>
        <v>binder</v>
      </c>
      <c r="E175" s="18" t="str">
        <f ca="1">IFERROR(__xludf.DUMMYFUNCTION("GoogleTranslate(A172, ""es"", ""fr"")"),"classeur")</f>
        <v>classeur</v>
      </c>
      <c r="F175" s="18" t="str">
        <f ca="1">IFERROR(__xludf.DUMMYFUNCTION("GoogleTranslate(A172, ""es"", ""de"")"),"Bindemittel")</f>
        <v>Bindemittel</v>
      </c>
      <c r="G175" s="7"/>
      <c r="H175" s="6"/>
    </row>
    <row r="176" spans="1:8" ht="25.5" x14ac:dyDescent="0.2">
      <c r="A176" s="18" t="s">
        <v>347</v>
      </c>
      <c r="B176" s="18"/>
      <c r="C176" s="18" t="s">
        <v>348</v>
      </c>
      <c r="D176" s="18" t="str">
        <f ca="1">IFERROR(__xludf.DUMMYFUNCTION("GoogleTranslate(A173, ""es"", ""en"")"),"wolf")</f>
        <v>wolf</v>
      </c>
      <c r="E176" s="18" t="str">
        <f ca="1">IFERROR(__xludf.DUMMYFUNCTION("GoogleTranslate(A173, ""es"", ""fr"")"),"loup")</f>
        <v>loup</v>
      </c>
      <c r="F176" s="18" t="str">
        <f ca="1">IFERROR(__xludf.DUMMYFUNCTION("GoogleTranslate(A173, ""es"", ""de"")"),"Wolf")</f>
        <v>Wolf</v>
      </c>
      <c r="G176" s="1"/>
      <c r="H176" s="8"/>
    </row>
    <row r="177" spans="1:8" ht="51" x14ac:dyDescent="0.2">
      <c r="A177" s="18" t="s">
        <v>349</v>
      </c>
      <c r="B177" s="18"/>
      <c r="C177" s="18" t="s">
        <v>350</v>
      </c>
      <c r="D177" s="18" t="str">
        <f ca="1">IFERROR(__xludf.DUMMYFUNCTION("GoogleTranslate(A174, ""es"", ""en"")"),"long")</f>
        <v>long</v>
      </c>
      <c r="E177" s="18" t="str">
        <f ca="1">IFERROR(__xludf.DUMMYFUNCTION("GoogleTranslate(A174, ""es"", ""fr"")"),"long")</f>
        <v>long</v>
      </c>
      <c r="F177" s="18" t="str">
        <f ca="1">IFERROR(__xludf.DUMMYFUNCTION("GoogleTranslate(A174, ""es"", ""de"")"),"lang")</f>
        <v>lang</v>
      </c>
      <c r="G177" s="3"/>
      <c r="H177" s="6"/>
    </row>
    <row r="178" spans="1:8" ht="409.5" x14ac:dyDescent="0.2">
      <c r="A178" s="18" t="s">
        <v>351</v>
      </c>
      <c r="B178" s="18" t="s">
        <v>150</v>
      </c>
      <c r="C178" s="20" t="s">
        <v>352</v>
      </c>
      <c r="D178" s="18" t="str">
        <f ca="1">IFERROR(__xludf.DUMMYFUNCTION("GoogleTranslate(A175, ""es"", ""en"")"),"curtain machine")</f>
        <v>curtain machine</v>
      </c>
      <c r="E178" s="18" t="str">
        <f ca="1">IFERROR(__xludf.DUMMYFUNCTION("GoogleTranslate(A175, ""es"", ""fr"")"),"machine à rideaux")</f>
        <v>machine à rideaux</v>
      </c>
      <c r="F178" s="18" t="str">
        <f ca="1">IFERROR(__xludf.DUMMYFUNCTION("GoogleTranslate(A175, ""es"", ""de"")"),"Vorhangmaschine")</f>
        <v>Vorhangmaschine</v>
      </c>
      <c r="G178" s="7"/>
    </row>
    <row r="179" spans="1:8" ht="409.5" x14ac:dyDescent="0.2">
      <c r="A179" s="18" t="s">
        <v>353</v>
      </c>
      <c r="B179" s="18" t="s">
        <v>150</v>
      </c>
      <c r="C179" s="20" t="s">
        <v>354</v>
      </c>
      <c r="D179" s="18" t="str">
        <f ca="1">IFERROR(__xludf.DUMMYFUNCTION("GoogleTranslate(A176, ""es"", ""en"")"),"printing machine")</f>
        <v>printing machine</v>
      </c>
      <c r="E179" s="18" t="str">
        <f ca="1">IFERROR(__xludf.DUMMYFUNCTION("GoogleTranslate(A176, ""es"", ""fr"")"),"imprimante")</f>
        <v>imprimante</v>
      </c>
      <c r="F179" s="18" t="str">
        <f ca="1">IFERROR(__xludf.DUMMYFUNCTION("GoogleTranslate(A176, ""es"", ""de"")"),"Drucker")</f>
        <v>Drucker</v>
      </c>
      <c r="G179" s="1"/>
    </row>
    <row r="180" spans="1:8" ht="280.5" x14ac:dyDescent="0.2">
      <c r="A180" s="18" t="s">
        <v>355</v>
      </c>
      <c r="B180" s="18" t="s">
        <v>150</v>
      </c>
      <c r="C180" s="20" t="s">
        <v>356</v>
      </c>
      <c r="D180" s="18" t="str">
        <f ca="1">IFERROR(__xludf.DUMMYFUNCTION("GoogleTranslate(A177, ""es"", ""en"")"),"polishing machine")</f>
        <v>polishing machine</v>
      </c>
      <c r="E180" s="18" t="str">
        <f ca="1">IFERROR(__xludf.DUMMYFUNCTION("GoogleTranslate(A177, ""es"", ""fr"")"),"polisseuse")</f>
        <v>polisseuse</v>
      </c>
      <c r="F180" s="18" t="str">
        <f ca="1">IFERROR(__xludf.DUMMYFUNCTION("GoogleTranslate(A177, ""es"", ""de"")"),"Poliermaschine")</f>
        <v>Poliermaschine</v>
      </c>
      <c r="G180" s="1"/>
    </row>
    <row r="181" spans="1:8" ht="331.5" x14ac:dyDescent="0.2">
      <c r="A181" s="18" t="s">
        <v>357</v>
      </c>
      <c r="B181" s="18" t="s">
        <v>150</v>
      </c>
      <c r="C181" s="20" t="s">
        <v>358</v>
      </c>
      <c r="D181" s="18" t="str">
        <f ca="1">IFERROR(__xludf.DUMMYFUNCTION("GoogleTranslate(A178, ""es"", ""en"")"),"painting machines")</f>
        <v>painting machines</v>
      </c>
      <c r="E181" s="18" t="str">
        <f ca="1">IFERROR(__xludf.DUMMYFUNCTION("GoogleTranslate(A178, ""es"", ""fr"")"),"machines à peindre")</f>
        <v>machines à peindre</v>
      </c>
      <c r="F181" s="18" t="str">
        <f ca="1">IFERROR(__xludf.DUMMYFUNCTION("GoogleTranslate(A178, ""es"", ""de"")"),"Lackiermaschinen")</f>
        <v>Lackiermaschinen</v>
      </c>
      <c r="G181" s="7"/>
    </row>
    <row r="182" spans="1:8" ht="51" x14ac:dyDescent="0.2">
      <c r="A182" s="18" t="s">
        <v>359</v>
      </c>
      <c r="B182" s="18" t="s">
        <v>70</v>
      </c>
      <c r="C182" s="18" t="s">
        <v>360</v>
      </c>
      <c r="D182" s="18" t="str">
        <f ca="1">IFERROR(__xludf.DUMMYFUNCTION("GoogleTranslate(A179, ""es"", ""en"")"),"Moroccan")</f>
        <v>Moroccan</v>
      </c>
      <c r="E182" s="18" t="str">
        <f ca="1">IFERROR(__xludf.DUMMYFUNCTION("GoogleTranslate(A179, ""es"", ""fr"")"),"marocain")</f>
        <v>marocain</v>
      </c>
      <c r="F182" s="18" t="str">
        <f ca="1">IFERROR(__xludf.DUMMYFUNCTION("GoogleTranslate(A179, ""es"", ""de"")"),"marokkanisch")</f>
        <v>marokkanisch</v>
      </c>
      <c r="G182" s="1"/>
    </row>
    <row r="183" spans="1:8" ht="38.25" x14ac:dyDescent="0.2">
      <c r="A183" s="18" t="s">
        <v>361</v>
      </c>
      <c r="B183" s="18" t="s">
        <v>7</v>
      </c>
      <c r="C183" s="18" t="s">
        <v>362</v>
      </c>
      <c r="D183" s="18" t="str">
        <f ca="1">IFERROR(__xludf.DUMMYFUNCTION("GoogleTranslate(A180, ""es"", ""en"")"),"leather goods")</f>
        <v>leather goods</v>
      </c>
      <c r="E183" s="18" t="str">
        <f ca="1">IFERROR(__xludf.DUMMYFUNCTION("GoogleTranslate(A180, ""es"", ""fr"")"),"maroquinerie")</f>
        <v>maroquinerie</v>
      </c>
      <c r="F183" s="18" t="str">
        <f ca="1">IFERROR(__xludf.DUMMYFUNCTION("GoogleTranslate(A180, ""es"", ""de"")"),"Lederwaren")</f>
        <v>Lederwaren</v>
      </c>
      <c r="G183" s="1"/>
    </row>
    <row r="184" spans="1:8" ht="102" x14ac:dyDescent="0.2">
      <c r="A184" s="18" t="s">
        <v>363</v>
      </c>
      <c r="B184" s="18" t="s">
        <v>46</v>
      </c>
      <c r="C184" s="18" t="s">
        <v>364</v>
      </c>
      <c r="D184" s="18" t="str">
        <f ca="1">IFERROR(__xludf.DUMMYFUNCTION("GoogleTranslate(A181, ""es"", ""en"")"),"mateantes")</f>
        <v>mateantes</v>
      </c>
      <c r="E184" s="18" t="str">
        <f ca="1">IFERROR(__xludf.DUMMYFUNCTION("GoogleTranslate(A181, ""es"", ""fr"")"),"mateantes")</f>
        <v>mateantes</v>
      </c>
      <c r="F184" s="18" t="str">
        <f ca="1">IFERROR(__xludf.DUMMYFUNCTION("GoogleTranslate(A181, ""es"", ""de"")"),"Mateantes")</f>
        <v>Mateantes</v>
      </c>
      <c r="G184" s="1"/>
    </row>
    <row r="185" spans="1:8" ht="76.5" x14ac:dyDescent="0.2">
      <c r="A185" s="18" t="s">
        <v>365</v>
      </c>
      <c r="B185" s="18" t="s">
        <v>70</v>
      </c>
      <c r="C185" s="18" t="s">
        <v>366</v>
      </c>
      <c r="D185" s="18" t="str">
        <f ca="1">IFERROR(__xludf.DUMMYFUNCTION("GoogleTranslate(A182, ""es"", ""en"")"),"medium (leather for soles)")</f>
        <v>medium (leather for soles)</v>
      </c>
      <c r="E185" s="18" t="str">
        <f ca="1">IFERROR(__xludf.DUMMYFUNCTION("GoogleTranslate(A182, ""es"", ""fr"")"),"moyen (cuir pour les semelles)")</f>
        <v>moyen (cuir pour les semelles)</v>
      </c>
      <c r="F185" s="18" t="str">
        <f ca="1">IFERROR(__xludf.DUMMYFUNCTION("GoogleTranslate(A182, ""es"", ""de"")"),"mittel (Leder für Sohlen)")</f>
        <v>mittel (Leder für Sohlen)</v>
      </c>
      <c r="G185" s="1"/>
    </row>
    <row r="186" spans="1:8" ht="409.5" x14ac:dyDescent="0.2">
      <c r="A186" s="18" t="s">
        <v>367</v>
      </c>
      <c r="B186" s="18" t="s">
        <v>135</v>
      </c>
      <c r="C186" s="18" t="s">
        <v>368</v>
      </c>
      <c r="D186" s="18" t="str">
        <f ca="1">IFERROR(__xludf.DUMMYFUNCTION("GoogleTranslate(A183, ""es"", ""en"")"),"half a coupon")</f>
        <v>half a coupon</v>
      </c>
      <c r="E186" s="18" t="str">
        <f ca="1">IFERROR(__xludf.DUMMYFUNCTION("GoogleTranslate(A183, ""es"", ""fr"")"),"un demi-coupon")</f>
        <v>un demi-coupon</v>
      </c>
      <c r="F186" s="18" t="str">
        <f ca="1">IFERROR(__xludf.DUMMYFUNCTION("GoogleTranslate(A183, ""es"", ""de"")"),"ein halber Gutschein")</f>
        <v>ein halber Gutschein</v>
      </c>
      <c r="G186" s="1"/>
    </row>
    <row r="187" spans="1:8" ht="51" x14ac:dyDescent="0.2">
      <c r="A187" s="18" t="s">
        <v>369</v>
      </c>
      <c r="B187" s="18" t="s">
        <v>135</v>
      </c>
      <c r="C187" s="18" t="s">
        <v>370</v>
      </c>
      <c r="D187" s="18" t="str">
        <f ca="1">IFERROR(__xludf.DUMMYFUNCTION("GoogleTranslate(A184, ""es"", ""en"")"),"half doset")</f>
        <v>half doset</v>
      </c>
      <c r="E187" s="18" t="str">
        <f ca="1">IFERROR(__xludf.DUMMYFUNCTION("GoogleTranslate(A184, ""es"", ""fr"")"),"demi-dose")</f>
        <v>demi-dose</v>
      </c>
      <c r="F187" s="18" t="str">
        <f ca="1">IFERROR(__xludf.DUMMYFUNCTION("GoogleTranslate(A184, ""es"", ""de"")"),"halbe Dosis")</f>
        <v>halbe Dosis</v>
      </c>
      <c r="G187" s="1"/>
    </row>
    <row r="188" spans="1:8" ht="12.75" x14ac:dyDescent="0.2">
      <c r="A188" s="18" t="s">
        <v>371</v>
      </c>
      <c r="B188" s="18" t="s">
        <v>135</v>
      </c>
      <c r="C188" s="18" t="s">
        <v>372</v>
      </c>
      <c r="D188" s="18" t="str">
        <f ca="1">IFERROR(__xludf.DUMMYFUNCTION("GoogleTranslate(A185, ""es"", ""en"")"),"cheek")</f>
        <v>cheek</v>
      </c>
      <c r="E188" s="18" t="str">
        <f ca="1">IFERROR(__xludf.DUMMYFUNCTION("GoogleTranslate(A185, ""es"", ""fr"")"),"joue")</f>
        <v>joue</v>
      </c>
      <c r="F188" s="18" t="str">
        <f ca="1">IFERROR(__xludf.DUMMYFUNCTION("GoogleTranslate(A185, ""es"", ""de"")"),"Wange")</f>
        <v>Wange</v>
      </c>
      <c r="G188" s="1"/>
    </row>
    <row r="189" spans="1:8" ht="12.75" x14ac:dyDescent="0.2">
      <c r="A189" s="18" t="s">
        <v>373</v>
      </c>
      <c r="B189" s="18"/>
      <c r="C189" s="18" t="s">
        <v>374</v>
      </c>
      <c r="D189" s="18" t="str">
        <f ca="1">IFERROR(__xludf.DUMMYFUNCTION("GoogleTranslate(A186, ""es"", ""en"")"),"half Blood")</f>
        <v>half Blood</v>
      </c>
      <c r="E189" s="18" t="str">
        <f ca="1">IFERROR(__xludf.DUMMYFUNCTION("GoogleTranslate(A186, ""es"", ""fr"")"),"sang mêlé")</f>
        <v>sang mêlé</v>
      </c>
      <c r="F189" s="18" t="str">
        <f ca="1">IFERROR(__xludf.DUMMYFUNCTION("GoogleTranslate(A186, ""es"", ""de"")"),"Halbblut")</f>
        <v>Halbblut</v>
      </c>
      <c r="G189" s="1"/>
    </row>
    <row r="190" spans="1:8" ht="76.5" x14ac:dyDescent="0.2">
      <c r="A190" s="18" t="s">
        <v>375</v>
      </c>
      <c r="B190" s="18" t="s">
        <v>7</v>
      </c>
      <c r="C190" s="18" t="s">
        <v>376</v>
      </c>
      <c r="D190" s="18" t="str">
        <f ca="1">IFERROR(__xludf.DUMMYFUNCTION("GoogleTranslate(A187, ""es"", ""en"")"),"metallic (skin or leather)")</f>
        <v>metallic (skin or leather)</v>
      </c>
      <c r="E190" s="18" t="str">
        <f ca="1">IFERROR(__xludf.DUMMYFUNCTION("GoogleTranslate(A187, ""es"", ""fr"")"),"métallique (peau ou cuir)")</f>
        <v>métallique (peau ou cuir)</v>
      </c>
      <c r="F190" s="18" t="str">
        <f ca="1">IFERROR(__xludf.DUMMYFUNCTION("GoogleTranslate(A187, ""es"", ""de"")"),"metallisch (Haut oder Leder)")</f>
        <v>metallisch (Haut oder Leder)</v>
      </c>
      <c r="G190" s="1"/>
    </row>
    <row r="191" spans="1:8" ht="63.75" x14ac:dyDescent="0.2">
      <c r="A191" s="18" t="s">
        <v>377</v>
      </c>
      <c r="B191" s="18" t="s">
        <v>46</v>
      </c>
      <c r="C191" s="18" t="s">
        <v>378</v>
      </c>
      <c r="D191" s="18" t="str">
        <f ca="1">IFERROR(__xludf.DUMMYFUNCTION("GoogleTranslate(A188, ""es"", ""en"")"),"touch modifiers")</f>
        <v>touch modifiers</v>
      </c>
      <c r="E191" s="18" t="str">
        <f ca="1">IFERROR(__xludf.DUMMYFUNCTION("GoogleTranslate(A188, ""es"", ""fr"")"),"modificateurs tactiles")</f>
        <v>modificateurs tactiles</v>
      </c>
      <c r="F191" s="18" t="str">
        <f ca="1">IFERROR(__xludf.DUMMYFUNCTION("GoogleTranslate(A188, ""es"", ""de"")"),"Berührungsmodifikatoren")</f>
        <v>Berührungsmodifikatoren</v>
      </c>
      <c r="G191" s="1"/>
    </row>
    <row r="192" spans="1:8" ht="25.5" x14ac:dyDescent="0.2">
      <c r="A192" s="18" t="s">
        <v>379</v>
      </c>
      <c r="B192" s="18" t="s">
        <v>70</v>
      </c>
      <c r="C192" s="18" t="s">
        <v>380</v>
      </c>
      <c r="D192" s="18" t="str">
        <f ca="1">IFERROR(__xludf.DUMMYFUNCTION("GoogleTranslate(A189, ""es"", ""en"")"),"molded (leather for)")</f>
        <v>molded (leather for)</v>
      </c>
      <c r="E192" s="18" t="str">
        <f ca="1">IFERROR(__xludf.DUMMYFUNCTION("GoogleTranslate(A189, ""es"", ""fr"")"),"moulé (cuir pour)")</f>
        <v>moulé (cuir pour)</v>
      </c>
      <c r="F192" s="18" t="str">
        <f ca="1">IFERROR(__xludf.DUMMYFUNCTION("GoogleTranslate(A189, ""es"", ""de"")"),"geformt (Leder für)")</f>
        <v>geformt (Leder für)</v>
      </c>
      <c r="G192" s="1"/>
    </row>
    <row r="193" spans="1:8" ht="25.5" x14ac:dyDescent="0.2">
      <c r="A193" s="18" t="s">
        <v>381</v>
      </c>
      <c r="B193" s="18" t="s">
        <v>70</v>
      </c>
      <c r="C193" s="18" t="s">
        <v>382</v>
      </c>
      <c r="D193" s="18" t="str">
        <f ca="1">IFERROR(__xludf.DUMMYFUNCTION("GoogleTranslate(A190, ""es"", ""en"")"),"walrus (skin)")</f>
        <v>walrus (skin)</v>
      </c>
      <c r="E193" s="18" t="str">
        <f ca="1">IFERROR(__xludf.DUMMYFUNCTION("GoogleTranslate(A190, ""es"", ""fr"")"),"morse (peau)")</f>
        <v>morse (peau)</v>
      </c>
      <c r="F193" s="18" t="str">
        <f ca="1">IFERROR(__xludf.DUMMYFUNCTION("GoogleTranslate(A190, ""es"", ""de"")"),"Walross (Haut)")</f>
        <v>Walross (Haut)</v>
      </c>
      <c r="G193" s="1"/>
    </row>
    <row r="194" spans="1:8" ht="38.25" x14ac:dyDescent="0.2">
      <c r="A194" s="18" t="s">
        <v>383</v>
      </c>
      <c r="B194" s="18" t="s">
        <v>70</v>
      </c>
      <c r="C194" s="18" t="s">
        <v>384</v>
      </c>
      <c r="D194" s="18" t="str">
        <f ca="1">IFERROR(__xludf.DUMMYFUNCTION("GoogleTranslate(A191, ""es"", ""en"")"),"pearly (skin or leather)")</f>
        <v>pearly (skin or leather)</v>
      </c>
      <c r="E194" s="18" t="str">
        <f ca="1">IFERROR(__xludf.DUMMYFUNCTION("GoogleTranslate(A191, ""es"", ""fr"")"),"nacré (peau ou cuir)")</f>
        <v>nacré (peau ou cuir)</v>
      </c>
      <c r="F194" s="18" t="str">
        <f ca="1">IFERROR(__xludf.DUMMYFUNCTION("GoogleTranslate(A191, ""es"", ""de"")"),"perlmuttartig (Haut oder Leder)")</f>
        <v>perlmuttartig (Haut oder Leder)</v>
      </c>
      <c r="G194" s="1"/>
    </row>
    <row r="195" spans="1:8" ht="76.5" x14ac:dyDescent="0.2">
      <c r="A195" s="18" t="s">
        <v>385</v>
      </c>
      <c r="B195" s="18" t="s">
        <v>70</v>
      </c>
      <c r="C195" s="22" t="s">
        <v>386</v>
      </c>
      <c r="D195" s="18" t="str">
        <f ca="1">IFERROR(__xludf.DUMMYFUNCTION("GoogleTranslate(A192, ""es"", ""en"")"),"napa")</f>
        <v>napa</v>
      </c>
      <c r="E195" s="18" t="str">
        <f ca="1">IFERROR(__xludf.DUMMYFUNCTION("GoogleTranslate(A192, ""es"", ""fr"")"),"Napa")</f>
        <v>Napa</v>
      </c>
      <c r="F195" s="18" t="str">
        <f ca="1">IFERROR(__xludf.DUMMYFUNCTION("GoogleTranslate(A192, ""es"", ""de"")"),"napa")</f>
        <v>napa</v>
      </c>
      <c r="G195" s="1"/>
      <c r="H195" s="2"/>
    </row>
    <row r="196" spans="1:8" ht="51" x14ac:dyDescent="0.2">
      <c r="A196" s="18" t="s">
        <v>385</v>
      </c>
      <c r="B196" s="18" t="s">
        <v>70</v>
      </c>
      <c r="C196" s="18" t="s">
        <v>387</v>
      </c>
      <c r="D196" s="18" t="str">
        <f ca="1">IFERROR(__xludf.DUMMYFUNCTION("GoogleTranslate(A193, ""es"", ""en"")"),"napa")</f>
        <v>napa</v>
      </c>
      <c r="E196" s="18" t="str">
        <f ca="1">IFERROR(__xludf.DUMMYFUNCTION("GoogleTranslate(A193, ""es"", ""fr"")"),"Napa")</f>
        <v>Napa</v>
      </c>
      <c r="F196" s="18" t="str">
        <f ca="1">IFERROR(__xludf.DUMMYFUNCTION("GoogleTranslate(A193, ""es"", ""de"")"),"napa")</f>
        <v>napa</v>
      </c>
      <c r="G196" s="1"/>
    </row>
    <row r="197" spans="1:8" ht="51" x14ac:dyDescent="0.2">
      <c r="A197" s="18" t="s">
        <v>388</v>
      </c>
      <c r="B197" s="18" t="s">
        <v>70</v>
      </c>
      <c r="C197" s="18" t="s">
        <v>389</v>
      </c>
      <c r="D197" s="18" t="str">
        <f ca="1">IFERROR(__xludf.DUMMYFUNCTION("GoogleTranslate(A194, ""es"", ""en"")"),"napalan")</f>
        <v>napalan</v>
      </c>
      <c r="E197" s="18" t="str">
        <f ca="1">IFERROR(__xludf.DUMMYFUNCTION("GoogleTranslate(A194, ""es"", ""fr"")"),"napalan")</f>
        <v>napalan</v>
      </c>
      <c r="F197" s="18" t="str">
        <f ca="1">IFERROR(__xludf.DUMMYFUNCTION("GoogleTranslate(A194, ""es"", ""de"")"),"Napalan")</f>
        <v>Napalan</v>
      </c>
      <c r="G197" s="1"/>
    </row>
    <row r="198" spans="1:8" ht="25.5" x14ac:dyDescent="0.2">
      <c r="A198" s="18" t="s">
        <v>390</v>
      </c>
      <c r="B198" s="18" t="s">
        <v>70</v>
      </c>
      <c r="C198" s="18" t="s">
        <v>391</v>
      </c>
      <c r="D198" s="18" t="str">
        <f ca="1">IFERROR(__xludf.DUMMYFUNCTION("GoogleTranslate(A195, ""es"", ""en"")"),"natural (leather)")</f>
        <v>natural (leather)</v>
      </c>
      <c r="E198" s="18" t="str">
        <f ca="1">IFERROR(__xludf.DUMMYFUNCTION("GoogleTranslate(A195, ""es"", ""fr"")"),"Cuir naturel)")</f>
        <v>Cuir naturel)</v>
      </c>
      <c r="F198" s="18" t="str">
        <f ca="1">IFERROR(__xludf.DUMMYFUNCTION("GoogleTranslate(A195, ""es"", ""de"")"),"Naturleder)")</f>
        <v>Naturleder)</v>
      </c>
      <c r="G198" s="1"/>
    </row>
    <row r="199" spans="1:8" ht="102" x14ac:dyDescent="0.2">
      <c r="A199" s="18" t="s">
        <v>392</v>
      </c>
      <c r="B199" s="18" t="s">
        <v>46</v>
      </c>
      <c r="C199" s="18" t="s">
        <v>393</v>
      </c>
      <c r="D199" s="18" t="str">
        <f ca="1">IFERROR(__xludf.DUMMYFUNCTION("GoogleTranslate(A196, ""es"", ""en"")"),"levelers or extenders")</f>
        <v>levelers or extenders</v>
      </c>
      <c r="E199" s="18" t="str">
        <f ca="1">IFERROR(__xludf.DUMMYFUNCTION("GoogleTranslate(A196, ""es"", ""fr"")"),"niveleurs ou rallonges")</f>
        <v>niveleurs ou rallonges</v>
      </c>
      <c r="F199" s="18" t="str">
        <f ca="1">IFERROR(__xludf.DUMMYFUNCTION("GoogleTranslate(A196, ""es"", ""de"")"),"Nivellierer oder Extender")</f>
        <v>Nivellierer oder Extender</v>
      </c>
      <c r="G199" s="1"/>
    </row>
    <row r="200" spans="1:8" ht="25.5" x14ac:dyDescent="0.2">
      <c r="A200" s="18" t="s">
        <v>394</v>
      </c>
      <c r="B200" s="18" t="s">
        <v>70</v>
      </c>
      <c r="C200" s="18" t="s">
        <v>395</v>
      </c>
      <c r="D200" s="18" t="str">
        <f ca="1">IFERROR(__xludf.DUMMYFUNCTION("GoogleTranslate(A197, ""es"", ""en"")"),"nubuck")</f>
        <v>nubuck</v>
      </c>
      <c r="E200" s="18" t="str">
        <f ca="1">IFERROR(__xludf.DUMMYFUNCTION("GoogleTranslate(A197, ""es"", ""fr"")"),"nubuck")</f>
        <v>nubuck</v>
      </c>
      <c r="F200" s="18" t="str">
        <f ca="1">IFERROR(__xludf.DUMMYFUNCTION("GoogleTranslate(A197, ""es"", ""de"")"),"Nubuk")</f>
        <v>Nubuk</v>
      </c>
      <c r="G200" s="1"/>
    </row>
    <row r="201" spans="1:8" ht="89.25" x14ac:dyDescent="0.2">
      <c r="A201" s="18" t="s">
        <v>396</v>
      </c>
      <c r="B201" s="18" t="s">
        <v>70</v>
      </c>
      <c r="C201" s="18" t="s">
        <v>397</v>
      </c>
      <c r="D201" s="18" t="str">
        <f ca="1">IFERROR(__xludf.DUMMYFUNCTION("GoogleTranslate(A198, ""es"", ""en"")"),"unborn")</f>
        <v>unborn</v>
      </c>
      <c r="E201" s="18" t="str">
        <f ca="1">IFERROR(__xludf.DUMMYFUNCTION("GoogleTranslate(A198, ""es"", ""fr"")"),"à naître")</f>
        <v>à naître</v>
      </c>
      <c r="F201" s="18" t="str">
        <f ca="1">IFERROR(__xludf.DUMMYFUNCTION("GoogleTranslate(A198, ""es"", ""de"")"),"ungeboren")</f>
        <v>ungeboren</v>
      </c>
      <c r="G201" s="1"/>
    </row>
    <row r="202" spans="1:8" ht="38.25" x14ac:dyDescent="0.2">
      <c r="A202" s="18" t="s">
        <v>398</v>
      </c>
      <c r="B202" s="18" t="s">
        <v>70</v>
      </c>
      <c r="C202" s="18" t="s">
        <v>399</v>
      </c>
      <c r="D202" s="18" t="str">
        <f ca="1">IFERROR(__xludf.DUMMYFUNCTION("GoogleTranslate(A199, ""es"", ""en"")"),"orthopedic (leather)")</f>
        <v>orthopedic (leather)</v>
      </c>
      <c r="E202" s="18" t="str">
        <f ca="1">IFERROR(__xludf.DUMMYFUNCTION("GoogleTranslate(A199, ""es"", ""fr"")"),"orthopédique (cuir)")</f>
        <v>orthopédique (cuir)</v>
      </c>
      <c r="F202" s="18" t="str">
        <f ca="1">IFERROR(__xludf.DUMMYFUNCTION("GoogleTranslate(A199, ""es"", ""de"")"),"orthopädisch (Leder)")</f>
        <v>orthopädisch (Leder)</v>
      </c>
      <c r="G202" s="1"/>
    </row>
    <row r="203" spans="1:8" ht="25.5" x14ac:dyDescent="0.2">
      <c r="A203" s="18" t="s">
        <v>400</v>
      </c>
      <c r="B203" s="18"/>
      <c r="C203" s="18" t="s">
        <v>401</v>
      </c>
      <c r="D203" s="18" t="str">
        <f ca="1">IFERROR(__xludf.DUMMYFUNCTION("GoogleTranslate(A200, ""es"", ""en"")"),"paste (leather)")</f>
        <v>paste (leather)</v>
      </c>
      <c r="E203" s="18" t="str">
        <f ca="1">IFERROR(__xludf.DUMMYFUNCTION("GoogleTranslate(A200, ""es"", ""fr"")"),"pâte (cuir)")</f>
        <v>pâte (cuir)</v>
      </c>
      <c r="F203" s="18" t="str">
        <f ca="1">IFERROR(__xludf.DUMMYFUNCTION("GoogleTranslate(A200, ""es"", ""de"")"),"Paste (Leder)")</f>
        <v>Paste (Leder)</v>
      </c>
      <c r="G203" s="1"/>
    </row>
    <row r="204" spans="1:8" ht="25.5" x14ac:dyDescent="0.2">
      <c r="A204" s="18" t="s">
        <v>402</v>
      </c>
      <c r="B204" s="18"/>
      <c r="C204" s="18" t="s">
        <v>403</v>
      </c>
      <c r="D204" s="18" t="str">
        <f ca="1">IFERROR(__xludf.DUMMYFUNCTION("GoogleTranslate(A201, ""es"", ""en"")"),"peccary")</f>
        <v>peccary</v>
      </c>
      <c r="E204" s="18" t="str">
        <f ca="1">IFERROR(__xludf.DUMMYFUNCTION("GoogleTranslate(A201, ""es"", ""fr"")"),"pécari")</f>
        <v>pécari</v>
      </c>
      <c r="F204" s="18" t="str">
        <f ca="1">IFERROR(__xludf.DUMMYFUNCTION("GoogleTranslate(A201, ""es"", ""de"")"),"Pekari")</f>
        <v>Pekari</v>
      </c>
      <c r="G204" s="1"/>
    </row>
    <row r="205" spans="1:8" ht="102" x14ac:dyDescent="0.2">
      <c r="A205" s="18" t="s">
        <v>404</v>
      </c>
      <c r="B205" s="18"/>
      <c r="C205" s="18" t="s">
        <v>405</v>
      </c>
      <c r="D205" s="18" t="str">
        <f ca="1">IFERROR(__xludf.DUMMYFUNCTION("GoogleTranslate(A202, ""es"", ""en"")"),"hair")</f>
        <v>hair</v>
      </c>
      <c r="E205" s="18" t="str">
        <f ca="1">IFERROR(__xludf.DUMMYFUNCTION("GoogleTranslate(A202, ""es"", ""fr"")"),"cheveux")</f>
        <v>cheveux</v>
      </c>
      <c r="F205" s="18" t="str">
        <f ca="1">IFERROR(__xludf.DUMMYFUNCTION("GoogleTranslate(A202, ""es"", ""de"")"),"Haar")</f>
        <v>Haar</v>
      </c>
      <c r="G205" s="1"/>
    </row>
    <row r="206" spans="1:8" ht="25.5" x14ac:dyDescent="0.2">
      <c r="A206" s="18" t="s">
        <v>406</v>
      </c>
      <c r="B206" s="18"/>
      <c r="C206" s="18" t="s">
        <v>407</v>
      </c>
      <c r="D206" s="18" t="str">
        <f ca="1">IFERROR(__xludf.DUMMYFUNCTION("GoogleTranslate(A203, ""es"", ""en"")"),"fluff")</f>
        <v>fluff</v>
      </c>
      <c r="E206" s="18" t="str">
        <f ca="1">IFERROR(__xludf.DUMMYFUNCTION("GoogleTranslate(A203, ""es"", ""fr"")"),"duvet")</f>
        <v>duvet</v>
      </c>
      <c r="F206" s="18" t="str">
        <f ca="1">IFERROR(__xludf.DUMMYFUNCTION("GoogleTranslate(A203, ""es"", ""de"")"),"Flaum")</f>
        <v>Flaum</v>
      </c>
      <c r="G206" s="1"/>
    </row>
    <row r="207" spans="1:8" ht="102" x14ac:dyDescent="0.2">
      <c r="A207" s="18" t="s">
        <v>408</v>
      </c>
      <c r="B207" s="18" t="s">
        <v>46</v>
      </c>
      <c r="C207" s="18" t="s">
        <v>409</v>
      </c>
      <c r="D207" s="18" t="str">
        <f ca="1">IFERROR(__xludf.DUMMYFUNCTION("GoogleTranslate(A204, ""es"", ""en"")"),"penetrators")</f>
        <v>penetrators</v>
      </c>
      <c r="E207" s="18" t="str">
        <f ca="1">IFERROR(__xludf.DUMMYFUNCTION("GoogleTranslate(A204, ""es"", ""fr"")"),"pénétrateurs")</f>
        <v>pénétrateurs</v>
      </c>
      <c r="F207" s="18" t="str">
        <f ca="1">IFERROR(__xludf.DUMMYFUNCTION("GoogleTranslate(A204, ""es"", ""de"")"),"Eindringlinge")</f>
        <v>Eindringlinge</v>
      </c>
      <c r="G207" s="1"/>
    </row>
    <row r="208" spans="1:8" ht="76.5" x14ac:dyDescent="0.2">
      <c r="A208" s="18" t="s">
        <v>410</v>
      </c>
      <c r="B208" s="18"/>
      <c r="C208" s="18" t="s">
        <v>411</v>
      </c>
      <c r="D208" s="18" t="str">
        <f ca="1">IFERROR(__xludf.DUMMYFUNCTION("GoogleTranslate(A205, ""es"", ""en"")"),"parchment")</f>
        <v>parchment</v>
      </c>
      <c r="E208" s="18" t="str">
        <f ca="1">IFERROR(__xludf.DUMMYFUNCTION("GoogleTranslate(A205, ""es"", ""fr"")"),"parchemin")</f>
        <v>parchemin</v>
      </c>
      <c r="F208" s="18" t="str">
        <f ca="1">IFERROR(__xludf.DUMMYFUNCTION("GoogleTranslate(A205, ""es"", ""de"")"),"Pergament")</f>
        <v>Pergament</v>
      </c>
      <c r="G208" s="1"/>
    </row>
    <row r="209" spans="1:8" ht="38.25" x14ac:dyDescent="0.2">
      <c r="A209" s="18" t="s">
        <v>412</v>
      </c>
      <c r="B209" s="18"/>
      <c r="C209" s="18" t="s">
        <v>413</v>
      </c>
      <c r="D209" s="18" t="str">
        <f ca="1">IFERROR(__xludf.DUMMYFUNCTION("GoogleTranslate(A206, ""es"", ""en"")"),"parchment (for drums)")</f>
        <v>parchment (for drums)</v>
      </c>
      <c r="E209" s="18" t="str">
        <f ca="1">IFERROR(__xludf.DUMMYFUNCTION("GoogleTranslate(A206, ""es"", ""fr"")"),"parchemin (pour tambours)")</f>
        <v>parchemin (pour tambours)</v>
      </c>
      <c r="F209" s="18" t="str">
        <f ca="1">IFERROR(__xludf.DUMMYFUNCTION("GoogleTranslate(A206, ""es"", ""de"")"),"Pergament (für Trommeln)")</f>
        <v>Pergament (für Trommeln)</v>
      </c>
      <c r="G209" s="1"/>
    </row>
    <row r="210" spans="1:8" ht="408" x14ac:dyDescent="0.2">
      <c r="A210" s="18" t="s">
        <v>414</v>
      </c>
      <c r="B210" s="18"/>
      <c r="C210" s="18" t="s">
        <v>415</v>
      </c>
      <c r="D210" s="18" t="str">
        <f ca="1">IFERROR(__xludf.DUMMYFUNCTION("GoogleTranslate(A207, ""es"", ""en"")"),"weight (of leather)")</f>
        <v>weight (of leather)</v>
      </c>
      <c r="E210" s="18" t="str">
        <f ca="1">IFERROR(__xludf.DUMMYFUNCTION("GoogleTranslate(A207, ""es"", ""fr"")"),"poids (du cuir)")</f>
        <v>poids (du cuir)</v>
      </c>
      <c r="F210" s="18" t="str">
        <f ca="1">IFERROR(__xludf.DUMMYFUNCTION("GoogleTranslate(A207, ""es"", ""de"")"),"Gewicht (von Leder)")</f>
        <v>Gewicht (von Leder)</v>
      </c>
      <c r="G210" s="1"/>
    </row>
    <row r="211" spans="1:8" ht="38.25" x14ac:dyDescent="0.2">
      <c r="A211" s="18" t="s">
        <v>416</v>
      </c>
      <c r="B211" s="18"/>
      <c r="C211" s="18" t="s">
        <v>417</v>
      </c>
      <c r="D211" s="18" t="str">
        <f ca="1">IFERROR(__xludf.DUMMYFUNCTION("GoogleTranslate(A208, ""es"", ""en"")"),"fur")</f>
        <v>fur</v>
      </c>
      <c r="E211" s="18" t="str">
        <f ca="1">IFERROR(__xludf.DUMMYFUNCTION("GoogleTranslate(A208, ""es"", ""fr"")"),"fourrure")</f>
        <v>fourrure</v>
      </c>
      <c r="F211" s="18" t="str">
        <f ca="1">IFERROR(__xludf.DUMMYFUNCTION("GoogleTranslate(A208, ""es"", ""de"")"),"Fell")</f>
        <v>Fell</v>
      </c>
      <c r="G211" s="1"/>
    </row>
    <row r="212" spans="1:8" ht="63.75" x14ac:dyDescent="0.2">
      <c r="A212" s="18" t="s">
        <v>418</v>
      </c>
      <c r="B212" s="18" t="s">
        <v>70</v>
      </c>
      <c r="C212" s="18" t="s">
        <v>419</v>
      </c>
      <c r="D212" s="18" t="str">
        <f ca="1">IFERROR(__xludf.DUMMYFUNCTION("GoogleTranslate(A209, ""es"", ""en"")"),"pigskin")</f>
        <v>pigskin</v>
      </c>
      <c r="E212" s="18" t="str">
        <f ca="1">IFERROR(__xludf.DUMMYFUNCTION("GoogleTranslate(A209, ""es"", ""fr"")"),"peau de porc")</f>
        <v>peau de porc</v>
      </c>
      <c r="F212" s="18" t="str">
        <f ca="1">IFERROR(__xludf.DUMMYFUNCTION("GoogleTranslate(A209, ""es"", ""de"")"),"Schweinsleder")</f>
        <v>Schweinsleder</v>
      </c>
      <c r="G212" s="1"/>
      <c r="H212" s="2"/>
    </row>
    <row r="213" spans="1:8" ht="51" x14ac:dyDescent="0.2">
      <c r="A213" s="18" t="s">
        <v>420</v>
      </c>
      <c r="B213" s="18" t="s">
        <v>70</v>
      </c>
      <c r="C213" s="18" t="s">
        <v>421</v>
      </c>
      <c r="D213" s="18" t="str">
        <f ca="1">IFERROR(__xludf.DUMMYFUNCTION("GoogleTranslate(A210, ""es"", ""en"")"),"foal skin")</f>
        <v>foal skin</v>
      </c>
      <c r="E213" s="18" t="str">
        <f ca="1">IFERROR(__xludf.DUMMYFUNCTION("GoogleTranslate(A210, ""es"", ""fr"")"),"peau de poulain")</f>
        <v>peau de poulain</v>
      </c>
      <c r="F213" s="18" t="str">
        <f ca="1">IFERROR(__xludf.DUMMYFUNCTION("GoogleTranslate(A210, ""es"", ""de"")"),"Fohlenhaut")</f>
        <v>Fohlenhaut</v>
      </c>
      <c r="G213" s="1"/>
      <c r="H213" s="2"/>
    </row>
    <row r="214" spans="1:8" ht="51" x14ac:dyDescent="0.2">
      <c r="A214" s="18" t="s">
        <v>422</v>
      </c>
      <c r="B214" s="18"/>
      <c r="C214" s="18" t="s">
        <v>423</v>
      </c>
      <c r="D214" s="18" t="str">
        <f ca="1">IFERROR(__xludf.DUMMYFUNCTION("GoogleTranslate(A211, ""es"", ""en"")"),"golden or silver skin")</f>
        <v>golden or silver skin</v>
      </c>
      <c r="E214" s="18" t="str">
        <f ca="1">IFERROR(__xludf.DUMMYFUNCTION("GoogleTranslate(A211, ""es"", ""fr"")"),"peau dorée ou argentée")</f>
        <v>peau dorée ou argentée</v>
      </c>
      <c r="F214" s="18" t="str">
        <f ca="1">IFERROR(__xludf.DUMMYFUNCTION("GoogleTranslate(A211, ""es"", ""de"")"),"goldene oder silberne Haut")</f>
        <v>goldene oder silberne Haut</v>
      </c>
      <c r="G214" s="1"/>
    </row>
    <row r="215" spans="1:8" ht="89.25" x14ac:dyDescent="0.2">
      <c r="A215" s="18" t="s">
        <v>424</v>
      </c>
      <c r="B215" s="18"/>
      <c r="C215" s="18" t="s">
        <v>425</v>
      </c>
      <c r="D215" s="18" t="str">
        <f ca="1">IFERROR(__xludf.DUMMYFUNCTION("GoogleTranslate(A212, ""es"", ""en"")"),"finished sheep skin")</f>
        <v>finished sheep skin</v>
      </c>
      <c r="E215" s="18" t="str">
        <f ca="1">IFERROR(__xludf.DUMMYFUNCTION("GoogleTranslate(A212, ""es"", ""fr"")"),"peau de mouton finie")</f>
        <v>peau de mouton finie</v>
      </c>
      <c r="F215" s="18" t="str">
        <f ca="1">IFERROR(__xludf.DUMMYFUNCTION("GoogleTranslate(A212, ""es"", ""de"")"),"fertiges Schaffell")</f>
        <v>fertiges Schaffell</v>
      </c>
      <c r="G215" s="1"/>
    </row>
    <row r="216" spans="1:8" ht="51" x14ac:dyDescent="0.2">
      <c r="A216" s="18" t="s">
        <v>426</v>
      </c>
      <c r="B216" s="18"/>
      <c r="C216" s="18" t="s">
        <v>427</v>
      </c>
      <c r="D216" s="18" t="str">
        <f ca="1">IFERROR(__xludf.DUMMYFUNCTION("GoogleTranslate(A213, ""es"", ""en"")"),"sheared sheep skin for linings")</f>
        <v>sheared sheep skin for linings</v>
      </c>
      <c r="E216" s="18" t="str">
        <f ca="1">IFERROR(__xludf.DUMMYFUNCTION("GoogleTranslate(A213, ""es"", ""fr"")"),"peau de mouton tondue pour doublures")</f>
        <v>peau de mouton tondue pour doublures</v>
      </c>
      <c r="F216" s="18" t="str">
        <f ca="1">IFERROR(__xludf.DUMMYFUNCTION("GoogleTranslate(A213, ""es"", ""de"")"),"geschorenes Schaffell für Futter")</f>
        <v>geschorenes Schaffell für Futter</v>
      </c>
      <c r="G216" s="1"/>
    </row>
    <row r="217" spans="1:8" ht="38.25" x14ac:dyDescent="0.2">
      <c r="A217" s="18" t="s">
        <v>428</v>
      </c>
      <c r="B217" s="18" t="s">
        <v>70</v>
      </c>
      <c r="C217" s="18"/>
      <c r="D217" s="18" t="str">
        <f ca="1">IFERROR(__xludf.DUMMYFUNCTION("GoogleTranslate(A214, ""es"", ""en"")"),"PVC faux fur")</f>
        <v>PVC faux fur</v>
      </c>
      <c r="E217" s="18" t="str">
        <f ca="1">IFERROR(__xludf.DUMMYFUNCTION("GoogleTranslate(A214, ""es"", ""fr"")"),"Fausse fourrure en PVC")</f>
        <v>Fausse fourrure en PVC</v>
      </c>
      <c r="F217" s="18" t="str">
        <f ca="1">IFERROR(__xludf.DUMMYFUNCTION("GoogleTranslate(A214, ""es"", ""de"")"),"PVC-Kunstfell")</f>
        <v>PVC-Kunstfell</v>
      </c>
      <c r="G217" s="1"/>
    </row>
    <row r="218" spans="1:8" ht="12.75" x14ac:dyDescent="0.2">
      <c r="A218" s="18" t="s">
        <v>429</v>
      </c>
      <c r="B218" s="18"/>
      <c r="C218" s="18" t="s">
        <v>430</v>
      </c>
      <c r="D218" s="18" t="str">
        <f ca="1">IFERROR(__xludf.DUMMYFUNCTION("GoogleTranslate(A215, ""es"", ""en"")"),"pigmented")</f>
        <v>pigmented</v>
      </c>
      <c r="E218" s="18" t="str">
        <f ca="1">IFERROR(__xludf.DUMMYFUNCTION("GoogleTranslate(A215, ""es"", ""fr"")"),"pigmenté")</f>
        <v>pigmenté</v>
      </c>
      <c r="F218" s="18" t="str">
        <f ca="1">IFERROR(__xludf.DUMMYFUNCTION("GoogleTranslate(A215, ""es"", ""de"")"),"pigmentiert")</f>
        <v>pigmentiert</v>
      </c>
      <c r="G218" s="1"/>
    </row>
    <row r="219" spans="1:8" ht="409.5" x14ac:dyDescent="0.2">
      <c r="A219" s="18" t="s">
        <v>431</v>
      </c>
      <c r="B219" s="18"/>
      <c r="C219" s="18" t="s">
        <v>432</v>
      </c>
      <c r="D219" s="18" t="str">
        <f ca="1">IFERROR(__xludf.DUMMYFUNCTION("GoogleTranslate(A216, ""es"", ""en"")"),"pigments")</f>
        <v>pigments</v>
      </c>
      <c r="E219" s="18" t="str">
        <f ca="1">IFERROR(__xludf.DUMMYFUNCTION("GoogleTranslate(A216, ""es"", ""fr"")"),"pigments")</f>
        <v>pigments</v>
      </c>
      <c r="F219" s="18" t="str">
        <f ca="1">IFERROR(__xludf.DUMMYFUNCTION("GoogleTranslate(A216, ""es"", ""de"")"),"Pigmente")</f>
        <v>Pigmente</v>
      </c>
      <c r="G219" s="1"/>
    </row>
    <row r="220" spans="1:8" ht="38.25" x14ac:dyDescent="0.2">
      <c r="A220" s="18" t="s">
        <v>433</v>
      </c>
      <c r="B220" s="18" t="s">
        <v>208</v>
      </c>
      <c r="C220" s="20" t="s">
        <v>434</v>
      </c>
      <c r="D220" s="18" t="str">
        <f ca="1">IFERROR(__xludf.DUMMYFUNCTION("GoogleTranslate(A217, ""es"", ""en"")"),"pickled")</f>
        <v>pickled</v>
      </c>
      <c r="E220" s="18" t="str">
        <f ca="1">IFERROR(__xludf.DUMMYFUNCTION("GoogleTranslate(A217, ""es"", ""fr"")"),"mariné")</f>
        <v>mariné</v>
      </c>
      <c r="F220" s="18" t="str">
        <f ca="1">IFERROR(__xludf.DUMMYFUNCTION("GoogleTranslate(A217, ""es"", ""de"")"),"eingelegt")</f>
        <v>eingelegt</v>
      </c>
      <c r="G220" s="1"/>
      <c r="H220" s="6"/>
    </row>
    <row r="221" spans="1:8" ht="38.25" x14ac:dyDescent="0.2">
      <c r="A221" s="18" t="s">
        <v>433</v>
      </c>
      <c r="B221" s="18"/>
      <c r="C221" s="18" t="s">
        <v>435</v>
      </c>
      <c r="D221" s="18" t="str">
        <f ca="1">IFERROR(__xludf.DUMMYFUNCTION("GoogleTranslate(A218, ""es"", ""en"")"),"pickled")</f>
        <v>pickled</v>
      </c>
      <c r="E221" s="18" t="str">
        <f ca="1">IFERROR(__xludf.DUMMYFUNCTION("GoogleTranslate(A218, ""es"", ""fr"")"),"mariné")</f>
        <v>mariné</v>
      </c>
      <c r="F221" s="18" t="str">
        <f ca="1">IFERROR(__xludf.DUMMYFUNCTION("GoogleTranslate(A218, ""es"", ""de"")"),"eingelegt")</f>
        <v>eingelegt</v>
      </c>
      <c r="G221" s="1"/>
    </row>
    <row r="222" spans="1:8" ht="63.75" x14ac:dyDescent="0.2">
      <c r="A222" s="18" t="s">
        <v>436</v>
      </c>
      <c r="B222" s="18"/>
      <c r="C222" s="18" t="s">
        <v>437</v>
      </c>
      <c r="D222" s="18" t="str">
        <f ca="1">IFERROR(__xludf.DUMMYFUNCTION("GoogleTranslate(A219, ""es"", ""en"")"),"vegetable-mixed tanning template")</f>
        <v>vegetable-mixed tanning template</v>
      </c>
      <c r="E222" s="18" t="str">
        <f ca="1">IFERROR(__xludf.DUMMYFUNCTION("GoogleTranslate(A219, ""es"", ""fr"")"),"modèle de bronzage aux légumes")</f>
        <v>modèle de bronzage aux légumes</v>
      </c>
      <c r="F222" s="18" t="str">
        <f ca="1">IFERROR(__xludf.DUMMYFUNCTION("GoogleTranslate(A219, ""es"", ""de"")"),"Gemüse-Misch-Bräunungsvorlage")</f>
        <v>Gemüse-Misch-Bräunungsvorlage</v>
      </c>
      <c r="G222" s="1"/>
    </row>
    <row r="223" spans="1:8" ht="38.25" x14ac:dyDescent="0.2">
      <c r="A223" s="18" t="s">
        <v>438</v>
      </c>
      <c r="B223" s="18"/>
      <c r="C223" s="18" t="s">
        <v>439</v>
      </c>
      <c r="D223" s="18" t="str">
        <f ca="1">IFERROR(__xludf.DUMMYFUNCTION("GoogleTranslate(A220, ""es"", ""en"")"),"insoles (leather for)")</f>
        <v>insoles (leather for)</v>
      </c>
      <c r="E223" s="18" t="str">
        <f ca="1">IFERROR(__xludf.DUMMYFUNCTION("GoogleTranslate(A220, ""es"", ""fr"")"),"semelles intérieures (en cuir pour)")</f>
        <v>semelles intérieures (en cuir pour)</v>
      </c>
      <c r="F223" s="18" t="str">
        <f ca="1">IFERROR(__xludf.DUMMYFUNCTION("GoogleTranslate(A220, ""es"", ""de"")"),"Einlegesohlen (Leder für)")</f>
        <v>Einlegesohlen (Leder für)</v>
      </c>
      <c r="G223" s="1"/>
    </row>
    <row r="224" spans="1:8" ht="25.5" x14ac:dyDescent="0.2">
      <c r="A224" s="18" t="s">
        <v>440</v>
      </c>
      <c r="B224" s="18"/>
      <c r="C224" s="18" t="s">
        <v>441</v>
      </c>
      <c r="D224" s="18" t="str">
        <f ca="1">IFERROR(__xludf.DUMMYFUNCTION("GoogleTranslate(A221, ""es"", ""en"")"),"sewing templates")</f>
        <v>sewing templates</v>
      </c>
      <c r="E224" s="18" t="str">
        <f ca="1">IFERROR(__xludf.DUMMYFUNCTION("GoogleTranslate(A221, ""es"", ""fr"")"),"modèles de couture")</f>
        <v>modèles de couture</v>
      </c>
      <c r="F224" s="18" t="str">
        <f ca="1">IFERROR(__xludf.DUMMYFUNCTION("GoogleTranslate(A221, ""es"", ""de"")"),"Nähvorlagen")</f>
        <v>Nähvorlagen</v>
      </c>
      <c r="G224" s="1"/>
    </row>
    <row r="225" spans="1:7" ht="63.75" x14ac:dyDescent="0.2">
      <c r="A225" s="18" t="s">
        <v>442</v>
      </c>
      <c r="B225" s="18" t="s">
        <v>46</v>
      </c>
      <c r="C225" s="18" t="s">
        <v>443</v>
      </c>
      <c r="D225" s="18" t="str">
        <f ca="1">IFERROR(__xludf.DUMMYFUNCTION("GoogleTranslate(A222, ""es"", ""en"")"),"plasticizers")</f>
        <v>plasticizers</v>
      </c>
      <c r="E225" s="18" t="str">
        <f ca="1">IFERROR(__xludf.DUMMYFUNCTION("GoogleTranslate(A222, ""es"", ""fr"")"),"plastifiants")</f>
        <v>plastifiants</v>
      </c>
      <c r="F225" s="18" t="str">
        <f ca="1">IFERROR(__xludf.DUMMYFUNCTION("GoogleTranslate(A222, ""es"", ""de"")"),"Weichmacher")</f>
        <v>Weichmacher</v>
      </c>
      <c r="G225" s="1"/>
    </row>
    <row r="226" spans="1:7" ht="63.75" x14ac:dyDescent="0.2">
      <c r="A226" s="18" t="s">
        <v>444</v>
      </c>
      <c r="B226" s="18" t="s">
        <v>135</v>
      </c>
      <c r="C226" s="18" t="s">
        <v>445</v>
      </c>
      <c r="D226" s="18" t="str">
        <f ca="1">IFERROR(__xludf.DUMMYFUNCTION("GoogleTranslate(A223, ""es"", ""en"")"),"full flower")</f>
        <v>full flower</v>
      </c>
      <c r="E226" s="18" t="str">
        <f ca="1">IFERROR(__xludf.DUMMYFUNCTION("GoogleTranslate(A223, ""es"", ""fr"")"),"pleine floraison")</f>
        <v>pleine floraison</v>
      </c>
      <c r="F226" s="18" t="str">
        <f ca="1">IFERROR(__xludf.DUMMYFUNCTION("GoogleTranslate(A223, ""es"", ""de"")"),"volle Blüte")</f>
        <v>volle Blüte</v>
      </c>
      <c r="G226" s="1"/>
    </row>
    <row r="227" spans="1:7" ht="89.25" x14ac:dyDescent="0.2">
      <c r="A227" s="18" t="s">
        <v>446</v>
      </c>
      <c r="B227" s="18" t="s">
        <v>70</v>
      </c>
      <c r="C227" s="18" t="s">
        <v>447</v>
      </c>
      <c r="D227" s="18" t="str">
        <f ca="1">IFERROR(__xludf.DUMMYFUNCTION("GoogleTranslate(A224, ""es"", ""en"")"),"leatherette")</f>
        <v>leatherette</v>
      </c>
      <c r="E227" s="18" t="str">
        <f ca="1">IFERROR(__xludf.DUMMYFUNCTION("GoogleTranslate(A224, ""es"", ""fr"")"),"similicuir")</f>
        <v>similicuir</v>
      </c>
      <c r="F227" s="18" t="str">
        <f ca="1">IFERROR(__xludf.DUMMYFUNCTION("GoogleTranslate(A224, ""es"", ""de"")"),"Kunstleder")</f>
        <v>Kunstleder</v>
      </c>
      <c r="G227" s="1"/>
    </row>
    <row r="228" spans="1:7" ht="38.25" x14ac:dyDescent="0.2">
      <c r="A228" s="18" t="s">
        <v>448</v>
      </c>
      <c r="B228" s="18"/>
      <c r="C228" s="18" t="s">
        <v>449</v>
      </c>
      <c r="D228" s="18" t="str">
        <f ca="1">IFERROR(__xludf.DUMMYFUNCTION("GoogleTranslate(A225, ""es"", ""en"")"),"pre-tanned (hide or leather)")</f>
        <v>pre-tanned (hide or leather)</v>
      </c>
      <c r="E228" s="18" t="str">
        <f ca="1">IFERROR(__xludf.DUMMYFUNCTION("GoogleTranslate(A225, ""es"", ""fr"")"),"pré-tanné (peau ou cuir)")</f>
        <v>pré-tanné (peau ou cuir)</v>
      </c>
      <c r="F228" s="18" t="str">
        <f ca="1">IFERROR(__xludf.DUMMYFUNCTION("GoogleTranslate(A225, ""es"", ""de"")"),"vorgegerbt (Haut oder Leder)")</f>
        <v>vorgegerbt (Haut oder Leder)</v>
      </c>
      <c r="G228" s="1"/>
    </row>
    <row r="229" spans="1:7" ht="63.75" x14ac:dyDescent="0.2">
      <c r="A229" s="18" t="s">
        <v>450</v>
      </c>
      <c r="B229" s="18"/>
      <c r="C229" s="18" t="s">
        <v>451</v>
      </c>
      <c r="D229" s="18" t="str">
        <f ca="1">IFERROR(__xludf.DUMMYFUNCTION("GoogleTranslate(A226, ""es"", ""en"")"),"protected (skin or leather)")</f>
        <v>protected (skin or leather)</v>
      </c>
      <c r="E229" s="18" t="str">
        <f ca="1">IFERROR(__xludf.DUMMYFUNCTION("GoogleTranslate(A226, ""es"", ""fr"")"),"protégé (peau ou cuir)")</f>
        <v>protégé (peau ou cuir)</v>
      </c>
      <c r="F229" s="18" t="str">
        <f ca="1">IFERROR(__xludf.DUMMYFUNCTION("GoogleTranslate(A226, ""es"", ""de"")"),"geschützt (Haut oder Leder)")</f>
        <v>geschützt (Haut oder Leder)</v>
      </c>
      <c r="G229" s="1"/>
    </row>
    <row r="230" spans="1:7" ht="63.75" x14ac:dyDescent="0.2">
      <c r="A230" s="18" t="s">
        <v>452</v>
      </c>
      <c r="B230" s="18"/>
      <c r="C230" s="18" t="s">
        <v>453</v>
      </c>
      <c r="D230" s="18" t="str">
        <f ca="1">IFERROR(__xludf.DUMMYFUNCTION("GoogleTranslate(A227, ""es"", ""en"")"),"purge")</f>
        <v>purge</v>
      </c>
      <c r="E230" s="18" t="str">
        <f ca="1">IFERROR(__xludf.DUMMYFUNCTION("GoogleTranslate(A227, ""es"", ""fr"")"),"purge")</f>
        <v>purge</v>
      </c>
      <c r="F230" s="18" t="str">
        <f ca="1">IFERROR(__xludf.DUMMYFUNCTION("GoogleTranslate(A227, ""es"", ""de"")"),"säubern")</f>
        <v>säubern</v>
      </c>
      <c r="G230" s="1"/>
    </row>
    <row r="231" spans="1:7" ht="63.75" x14ac:dyDescent="0.2">
      <c r="A231" s="18" t="s">
        <v>454</v>
      </c>
      <c r="B231" s="18"/>
      <c r="C231" s="18" t="s">
        <v>455</v>
      </c>
      <c r="D231" s="18" t="str">
        <f ca="1">IFERROR(__xludf.DUMMYFUNCTION("GoogleTranslate(A228, ""es"", ""en"")"),"pure")</f>
        <v>pure</v>
      </c>
      <c r="E231" s="18" t="str">
        <f ca="1">IFERROR(__xludf.DUMMYFUNCTION("GoogleTranslate(A228, ""es"", ""fr"")"),"pur")</f>
        <v>pur</v>
      </c>
      <c r="F231" s="18" t="str">
        <f ca="1">IFERROR(__xludf.DUMMYFUNCTION("GoogleTranslate(A228, ""es"", ""de"")"),"rein")</f>
        <v>rein</v>
      </c>
      <c r="G231" s="1"/>
    </row>
    <row r="232" spans="1:7" ht="63.75" x14ac:dyDescent="0.2">
      <c r="A232" s="18" t="s">
        <v>456</v>
      </c>
      <c r="B232" s="18" t="s">
        <v>7</v>
      </c>
      <c r="C232" s="18" t="s">
        <v>457</v>
      </c>
      <c r="D232" s="18" t="str">
        <f ca="1">IFERROR(__xludf.DUMMYFUNCTION("GoogleTranslate(A229, ""es"", ""en"")"),"discounted")</f>
        <v>discounted</v>
      </c>
      <c r="E232" s="18" t="str">
        <f ca="1">IFERROR(__xludf.DUMMYFUNCTION("GoogleTranslate(A229, ""es"", ""fr"")"),"à prix réduit")</f>
        <v>à prix réduit</v>
      </c>
      <c r="F232" s="18" t="str">
        <f ca="1">IFERROR(__xludf.DUMMYFUNCTION("GoogleTranslate(A229, ""es"", ""de"")"),"ermäßigt")</f>
        <v>ermäßigt</v>
      </c>
      <c r="G232" s="1"/>
    </row>
    <row r="233" spans="1:7" ht="25.5" x14ac:dyDescent="0.2">
      <c r="A233" s="18" t="s">
        <v>456</v>
      </c>
      <c r="B233" s="18"/>
      <c r="C233" s="18" t="s">
        <v>458</v>
      </c>
      <c r="D233" s="18" t="str">
        <f ca="1">IFERROR(__xludf.DUMMYFUNCTION("GoogleTranslate(A230, ""es"", ""en"")"),"discounted")</f>
        <v>discounted</v>
      </c>
      <c r="E233" s="18" t="str">
        <f ca="1">IFERROR(__xludf.DUMMYFUNCTION("GoogleTranslate(A230, ""es"", ""fr"")"),"à prix réduit")</f>
        <v>à prix réduit</v>
      </c>
      <c r="F233" s="18" t="str">
        <f ca="1">IFERROR(__xludf.DUMMYFUNCTION("GoogleTranslate(A230, ""es"", ""de"")"),"ermäßigt")</f>
        <v>ermäßigt</v>
      </c>
      <c r="G233" s="1"/>
    </row>
    <row r="234" spans="1:7" ht="25.5" x14ac:dyDescent="0.2">
      <c r="A234" s="18" t="s">
        <v>459</v>
      </c>
      <c r="B234" s="18" t="s">
        <v>135</v>
      </c>
      <c r="C234" s="18" t="s">
        <v>460</v>
      </c>
      <c r="D234" s="18" t="str">
        <f ca="1">IFERROR(__xludf.DUMMYFUNCTION("GoogleTranslate(A231, ""es"", ""en"")"),"flanges")</f>
        <v>flanges</v>
      </c>
      <c r="E234" s="18" t="str">
        <f ca="1">IFERROR(__xludf.DUMMYFUNCTION("GoogleTranslate(A231, ""es"", ""fr"")"),"brides")</f>
        <v>brides</v>
      </c>
      <c r="F234" s="18" t="str">
        <f ca="1">IFERROR(__xludf.DUMMYFUNCTION("GoogleTranslate(A231, ""es"", ""de"")"),"Flansche")</f>
        <v>Flansche</v>
      </c>
      <c r="G234" s="1"/>
    </row>
    <row r="235" spans="1:7" ht="25.5" x14ac:dyDescent="0.2">
      <c r="A235" s="18" t="s">
        <v>459</v>
      </c>
      <c r="B235" s="18"/>
      <c r="C235" s="18" t="s">
        <v>460</v>
      </c>
      <c r="D235" s="18" t="str">
        <f ca="1">IFERROR(__xludf.DUMMYFUNCTION("GoogleTranslate(A232, ""es"", ""en"")"),"flanges")</f>
        <v>flanges</v>
      </c>
      <c r="E235" s="18" t="str">
        <f ca="1">IFERROR(__xludf.DUMMYFUNCTION("GoogleTranslate(A232, ""es"", ""fr"")"),"brides")</f>
        <v>brides</v>
      </c>
      <c r="F235" s="18" t="str">
        <f ca="1">IFERROR(__xludf.DUMMYFUNCTION("GoogleTranslate(A232, ""es"", ""de"")"),"Flansche")</f>
        <v>Flansche</v>
      </c>
      <c r="G235" s="1"/>
    </row>
    <row r="236" spans="1:7" ht="51" x14ac:dyDescent="0.2">
      <c r="A236" s="18" t="s">
        <v>461</v>
      </c>
      <c r="B236" s="18"/>
      <c r="C236" s="18" t="s">
        <v>462</v>
      </c>
      <c r="D236" s="18" t="str">
        <f ca="1">IFERROR(__xludf.DUMMYFUNCTION("GoogleTranslate(A233, ""es"", ""en"")"),"retanning")</f>
        <v>retanning</v>
      </c>
      <c r="E236" s="18" t="str">
        <f ca="1">IFERROR(__xludf.DUMMYFUNCTION("GoogleTranslate(A233, ""es"", ""fr"")"),"rebronzage")</f>
        <v>rebronzage</v>
      </c>
      <c r="F236" s="18" t="str">
        <f ca="1">IFERROR(__xludf.DUMMYFUNCTION("GoogleTranslate(A233, ""es"", ""de"")"),"Nachgerbung")</f>
        <v>Nachgerbung</v>
      </c>
      <c r="G236" s="1"/>
    </row>
    <row r="237" spans="1:7" ht="153" x14ac:dyDescent="0.2">
      <c r="A237" s="18" t="s">
        <v>463</v>
      </c>
      <c r="B237" s="18" t="s">
        <v>46</v>
      </c>
      <c r="C237" s="18" t="s">
        <v>464</v>
      </c>
      <c r="D237" s="18" t="str">
        <f ca="1">IFERROR(__xludf.DUMMYFUNCTION("GoogleTranslate(A234, ""es"", ""en"")"),"fillers")</f>
        <v>fillers</v>
      </c>
      <c r="E237" s="18" t="str">
        <f ca="1">IFERROR(__xludf.DUMMYFUNCTION("GoogleTranslate(A234, ""es"", ""fr"")"),"charges")</f>
        <v>charges</v>
      </c>
      <c r="F237" s="18" t="str">
        <f ca="1">IFERROR(__xludf.DUMMYFUNCTION("GoogleTranslate(A234, ""es"", ""de"")"),"Füllstoffe")</f>
        <v>Füllstoffe</v>
      </c>
      <c r="G237" s="1"/>
    </row>
    <row r="238" spans="1:7" ht="76.5" x14ac:dyDescent="0.2">
      <c r="A238" s="18" t="s">
        <v>465</v>
      </c>
      <c r="B238" s="18" t="s">
        <v>208</v>
      </c>
      <c r="C238" s="20" t="s">
        <v>466</v>
      </c>
      <c r="D238" s="18" t="str">
        <f ca="1">IFERROR(__xludf.DUMMYFUNCTION("GoogleTranslate(A235, ""es"", ""en"")"),"soaking")</f>
        <v>soaking</v>
      </c>
      <c r="E238" s="18" t="str">
        <f ca="1">IFERROR(__xludf.DUMMYFUNCTION("GoogleTranslate(A235, ""es"", ""fr"")"),"trempage")</f>
        <v>trempage</v>
      </c>
      <c r="F238" s="18" t="str">
        <f ca="1">IFERROR(__xludf.DUMMYFUNCTION("GoogleTranslate(A235, ""es"", ""de"")"),"Einweichen")</f>
        <v>Einweichen</v>
      </c>
      <c r="G238" s="1"/>
    </row>
    <row r="239" spans="1:7" ht="76.5" x14ac:dyDescent="0.2">
      <c r="A239" s="18" t="s">
        <v>465</v>
      </c>
      <c r="B239" s="18"/>
      <c r="C239" s="18" t="s">
        <v>467</v>
      </c>
      <c r="D239" s="18" t="str">
        <f ca="1">IFERROR(__xludf.DUMMYFUNCTION("GoogleTranslate(A236, ""es"", ""en"")"),"soaking")</f>
        <v>soaking</v>
      </c>
      <c r="E239" s="18" t="str">
        <f ca="1">IFERROR(__xludf.DUMMYFUNCTION("GoogleTranslate(A236, ""es"", ""fr"")"),"trempage")</f>
        <v>trempage</v>
      </c>
      <c r="F239" s="18" t="str">
        <f ca="1">IFERROR(__xludf.DUMMYFUNCTION("GoogleTranslate(A236, ""es"", ""de"")"),"Einweichen")</f>
        <v>Einweichen</v>
      </c>
      <c r="G239" s="1"/>
    </row>
    <row r="240" spans="1:7" ht="63.75" x14ac:dyDescent="0.2">
      <c r="A240" s="18" t="s">
        <v>468</v>
      </c>
      <c r="B240" s="18"/>
      <c r="C240" s="18" t="s">
        <v>469</v>
      </c>
      <c r="D240" s="18" t="str">
        <f ca="1">IFERROR(__xludf.DUMMYFUNCTION("GoogleTranslate(A237, ""es"", ""en"")"),"crosslinkers")</f>
        <v>crosslinkers</v>
      </c>
      <c r="E240" s="18" t="str">
        <f ca="1">IFERROR(__xludf.DUMMYFUNCTION("GoogleTranslate(A237, ""es"", ""fr"")"),"agents de réticulation")</f>
        <v>agents de réticulation</v>
      </c>
      <c r="F240" s="18" t="str">
        <f ca="1">IFERROR(__xludf.DUMMYFUNCTION("GoogleTranslate(A237, ""es"", ""de"")"),"Vernetzer")</f>
        <v>Vernetzer</v>
      </c>
      <c r="G240" s="1"/>
    </row>
    <row r="241" spans="1:7" ht="12.75" x14ac:dyDescent="0.2">
      <c r="A241" s="18" t="s">
        <v>470</v>
      </c>
      <c r="B241" s="18" t="s">
        <v>135</v>
      </c>
      <c r="C241" s="18" t="s">
        <v>471</v>
      </c>
      <c r="D241" s="18" t="str">
        <f ca="1">IFERROR(__xludf.DUMMYFUNCTION("GoogleTranslate(A238, ""es"", ""en"")"),"reverse")</f>
        <v>reverse</v>
      </c>
      <c r="E241" s="18" t="str">
        <f ca="1">IFERROR(__xludf.DUMMYFUNCTION("GoogleTranslate(A238, ""es"", ""fr"")"),"inverse")</f>
        <v>inverse</v>
      </c>
      <c r="F241" s="18" t="str">
        <f ca="1">IFERROR(__xludf.DUMMYFUNCTION("GoogleTranslate(A238, ""es"", ""de"")"),"umkehren")</f>
        <v>umkehren</v>
      </c>
      <c r="G241" s="1"/>
    </row>
    <row r="242" spans="1:7" ht="89.25" x14ac:dyDescent="0.2">
      <c r="A242" s="18" t="s">
        <v>472</v>
      </c>
      <c r="B242" s="18"/>
      <c r="C242" s="18" t="s">
        <v>473</v>
      </c>
      <c r="D242" s="18" t="str">
        <f ca="1">IFERROR(__xludf.DUMMYFUNCTION("GoogleTranslate(A239, ""es"", ""en"")"),"riverbank")</f>
        <v>riverbank</v>
      </c>
      <c r="E242" s="18" t="str">
        <f ca="1">IFERROR(__xludf.DUMMYFUNCTION("GoogleTranslate(A239, ""es"", ""fr"")"),"berge")</f>
        <v>berge</v>
      </c>
      <c r="F242" s="18" t="str">
        <f ca="1">IFERROR(__xludf.DUMMYFUNCTION("GoogleTranslate(A239, ""es"", ""de"")"),"Flussufer")</f>
        <v>Flussufer</v>
      </c>
      <c r="G242" s="1"/>
    </row>
    <row r="243" spans="1:7" ht="25.5" x14ac:dyDescent="0.2">
      <c r="A243" s="18" t="s">
        <v>474</v>
      </c>
      <c r="B243" s="18"/>
      <c r="C243" s="18" t="s">
        <v>475</v>
      </c>
      <c r="D243" s="18" t="str">
        <f ca="1">IFERROR(__xludf.DUMMYFUNCTION("GoogleTranslate(A240, ""es"", ""en"")"),"rind-box")</f>
        <v>rind-box</v>
      </c>
      <c r="E243" s="18" t="str">
        <f ca="1">IFERROR(__xludf.DUMMYFUNCTION("GoogleTranslate(A240, ""es"", ""fr"")"),"boîte à couenne")</f>
        <v>boîte à couenne</v>
      </c>
      <c r="F243" s="18" t="str">
        <f ca="1">IFERROR(__xludf.DUMMYFUNCTION("GoogleTranslate(A240, ""es"", ""de"")"),"Schwartenkasten")</f>
        <v>Schwartenkasten</v>
      </c>
      <c r="G243" s="1"/>
    </row>
    <row r="244" spans="1:7" ht="318.75" x14ac:dyDescent="0.2">
      <c r="A244" s="18" t="s">
        <v>476</v>
      </c>
      <c r="B244" s="18"/>
      <c r="C244" s="18" t="s">
        <v>477</v>
      </c>
      <c r="D244" s="18" t="str">
        <f ca="1">IFERROR(__xludf.DUMMYFUNCTION("GoogleTranslate(A241, ""es"", ""en"")"),"leather salting")</f>
        <v>leather salting</v>
      </c>
      <c r="E244" s="18" t="str">
        <f ca="1">IFERROR(__xludf.DUMMYFUNCTION("GoogleTranslate(A241, ""es"", ""fr"")"),"salage du cuir")</f>
        <v>salage du cuir</v>
      </c>
      <c r="F244" s="18" t="str">
        <f ca="1">IFERROR(__xludf.DUMMYFUNCTION("GoogleTranslate(A241, ""es"", ""de"")"),"Leder salzen")</f>
        <v>Leder salzen</v>
      </c>
      <c r="G244" s="1"/>
    </row>
    <row r="245" spans="1:7" ht="409.5" x14ac:dyDescent="0.2">
      <c r="A245" s="18" t="s">
        <v>478</v>
      </c>
      <c r="B245" s="18"/>
      <c r="C245" s="18" t="s">
        <v>479</v>
      </c>
      <c r="D245" s="18" t="str">
        <f ca="1">IFERROR(__xludf.DUMMYFUNCTION("GoogleTranslate(A242, ""es"", ""en"")"),"leather drying")</f>
        <v>leather drying</v>
      </c>
      <c r="E245" s="18" t="str">
        <f ca="1">IFERROR(__xludf.DUMMYFUNCTION("GoogleTranslate(A242, ""es"", ""fr"")"),"séchage du cuir")</f>
        <v>séchage du cuir</v>
      </c>
      <c r="F245" s="18" t="str">
        <f ca="1">IFERROR(__xludf.DUMMYFUNCTION("GoogleTranslate(A242, ""es"", ""de"")"),"Ledertrocknung")</f>
        <v>Ledertrocknung</v>
      </c>
      <c r="G245" s="1"/>
    </row>
    <row r="246" spans="1:7" ht="12.75" x14ac:dyDescent="0.2">
      <c r="A246" s="18" t="s">
        <v>480</v>
      </c>
      <c r="B246" s="18"/>
      <c r="C246" s="18" t="s">
        <v>481</v>
      </c>
      <c r="D246" s="18" t="str">
        <f ca="1">IFERROR(__xludf.DUMMYFUNCTION("GoogleTranslate(A243, ""es"", ""en"")"),"dry")</f>
        <v>dry</v>
      </c>
      <c r="E246" s="18" t="str">
        <f ca="1">IFERROR(__xludf.DUMMYFUNCTION("GoogleTranslate(A243, ""es"", ""fr"")"),"sec")</f>
        <v>sec</v>
      </c>
      <c r="F246" s="18" t="str">
        <f ca="1">IFERROR(__xludf.DUMMYFUNCTION("GoogleTranslate(A243, ""es"", ""de"")"),"trocken")</f>
        <v>trocken</v>
      </c>
      <c r="G246" s="1"/>
    </row>
    <row r="247" spans="1:7" ht="12.75" x14ac:dyDescent="0.2">
      <c r="A247" s="18" t="s">
        <v>482</v>
      </c>
      <c r="B247" s="18"/>
      <c r="C247" s="18" t="s">
        <v>483</v>
      </c>
      <c r="D247" s="18" t="str">
        <f ca="1">IFERROR(__xludf.DUMMYFUNCTION("GoogleTranslate(A244, ""es"", ""en"")"),"suede")</f>
        <v>suede</v>
      </c>
      <c r="E247" s="18" t="str">
        <f ca="1">IFERROR(__xludf.DUMMYFUNCTION("GoogleTranslate(A244, ""es"", ""fr"")"),"suède")</f>
        <v>suède</v>
      </c>
      <c r="F247" s="18" t="str">
        <f ca="1">IFERROR(__xludf.DUMMYFUNCTION("GoogleTranslate(A244, ""es"", ""de"")"),"Wildleder")</f>
        <v>Wildleder</v>
      </c>
      <c r="G247" s="1"/>
    </row>
    <row r="248" spans="1:7" ht="25.5" x14ac:dyDescent="0.2">
      <c r="A248" s="18" t="s">
        <v>484</v>
      </c>
      <c r="B248" s="18"/>
      <c r="C248" s="18" t="s">
        <v>485</v>
      </c>
      <c r="D248" s="18" t="str">
        <f ca="1">IFERROR(__xludf.DUMMYFUNCTION("GoogleTranslate(A245, ""es"", ""en"")"),"unfinished")</f>
        <v>unfinished</v>
      </c>
      <c r="E248" s="18" t="str">
        <f ca="1">IFERROR(__xludf.DUMMYFUNCTION("GoogleTranslate(A245, ""es"", ""fr"")"),"inachevé")</f>
        <v>inachevé</v>
      </c>
      <c r="F248" s="18" t="str">
        <f ca="1">IFERROR(__xludf.DUMMYFUNCTION("GoogleTranslate(A245, ""es"", ""de"")"),"unvollendet")</f>
        <v>unvollendet</v>
      </c>
      <c r="G248" s="1"/>
    </row>
    <row r="249" spans="1:7" ht="12.75" x14ac:dyDescent="0.2">
      <c r="A249" s="18" t="s">
        <v>486</v>
      </c>
      <c r="B249" s="18"/>
      <c r="C249" s="18" t="s">
        <v>487</v>
      </c>
      <c r="D249" s="18" t="str">
        <f ca="1">IFERROR(__xludf.DUMMYFUNCTION("GoogleTranslate(A246, ""es"", ""en"")"),"unfinished")</f>
        <v>unfinished</v>
      </c>
      <c r="E249" s="18" t="str">
        <f ca="1">IFERROR(__xludf.DUMMYFUNCTION("GoogleTranslate(A246, ""es"", ""fr"")"),"sans finir")</f>
        <v>sans finir</v>
      </c>
      <c r="F249" s="18" t="str">
        <f ca="1">IFERROR(__xludf.DUMMYFUNCTION("GoogleTranslate(A246, ""es"", ""de"")"),"unvollendet")</f>
        <v>unvollendet</v>
      </c>
      <c r="G249" s="1"/>
    </row>
    <row r="250" spans="1:7" ht="25.5" x14ac:dyDescent="0.2">
      <c r="A250" s="18" t="s">
        <v>488</v>
      </c>
      <c r="B250" s="18"/>
      <c r="C250" s="18" t="s">
        <v>489</v>
      </c>
      <c r="D250" s="18" t="str">
        <f ca="1">IFERROR(__xludf.DUMMYFUNCTION("GoogleTranslate(A247, ""es"", ""en"")"),"softy")</f>
        <v>softy</v>
      </c>
      <c r="E250" s="18" t="str">
        <f ca="1">IFERROR(__xludf.DUMMYFUNCTION("GoogleTranslate(A247, ""es"", ""fr"")"),"doux")</f>
        <v>doux</v>
      </c>
      <c r="F250" s="18" t="str">
        <f ca="1">IFERROR(__xludf.DUMMYFUNCTION("GoogleTranslate(A247, ""es"", ""de"")"),"weich")</f>
        <v>weich</v>
      </c>
      <c r="G250" s="1"/>
    </row>
    <row r="251" spans="1:7" ht="51" x14ac:dyDescent="0.2">
      <c r="A251" s="18" t="s">
        <v>490</v>
      </c>
      <c r="B251" s="18"/>
      <c r="C251" s="18" t="s">
        <v>491</v>
      </c>
      <c r="D251" s="18" t="str">
        <f ca="1">IFERROR(__xludf.DUMMYFUNCTION("GoogleTranslate(A248, ""es"", ""en"")"),"flower looseness")</f>
        <v>flower looseness</v>
      </c>
      <c r="E251" s="18" t="str">
        <f ca="1">IFERROR(__xludf.DUMMYFUNCTION("GoogleTranslate(A248, ""es"", ""fr"")"),"relâchement des fleurs")</f>
        <v>relâchement des fleurs</v>
      </c>
      <c r="F251" s="18" t="str">
        <f ca="1">IFERROR(__xludf.DUMMYFUNCTION("GoogleTranslate(A248, ""es"", ""de"")"),"Blütenlockerheit")</f>
        <v>Blütenlockerheit</v>
      </c>
      <c r="G251" s="1"/>
    </row>
    <row r="252" spans="1:7" ht="51" x14ac:dyDescent="0.2">
      <c r="A252" s="18" t="s">
        <v>492</v>
      </c>
      <c r="B252" s="18" t="s">
        <v>150</v>
      </c>
      <c r="C252" s="18" t="s">
        <v>493</v>
      </c>
      <c r="D252" s="18" t="str">
        <f ca="1">IFERROR(__xludf.DUMMYFUNCTION("GoogleTranslate(A249, ""es"", ""en"")"),"blowtorch")</f>
        <v>blowtorch</v>
      </c>
      <c r="E252" s="18" t="str">
        <f ca="1">IFERROR(__xludf.DUMMYFUNCTION("GoogleTranslate(A249, ""es"", ""fr"")"),"chalumeau")</f>
        <v>chalumeau</v>
      </c>
      <c r="F252" s="18" t="str">
        <f ca="1">IFERROR(__xludf.DUMMYFUNCTION("GoogleTranslate(A249, ""es"", ""de"")"),"Lötlampe")</f>
        <v>Lötlampe</v>
      </c>
      <c r="G252" s="7"/>
    </row>
    <row r="253" spans="1:7" ht="237" customHeight="1" x14ac:dyDescent="0.2">
      <c r="A253" s="18" t="s">
        <v>494</v>
      </c>
      <c r="B253" s="18" t="s">
        <v>150</v>
      </c>
      <c r="C253" s="18" t="s">
        <v>877</v>
      </c>
      <c r="D253" s="18" t="str">
        <f ca="1">IFERROR(__xludf.DUMMYFUNCTION("GoogleTranslate(A250, ""es"", ""en"")"),"airless torch (airless atomization)")</f>
        <v>airless torch (airless atomization)</v>
      </c>
      <c r="E253" s="18" t="str">
        <f ca="1">IFERROR(__xludf.DUMMYFUNCTION("GoogleTranslate(A250, ""es"", ""fr"")"),"torche airless (atomisation airless)")</f>
        <v>torche airless (atomisation airless)</v>
      </c>
      <c r="F253" s="18" t="str">
        <f ca="1">IFERROR(__xludf.DUMMYFUNCTION("GoogleTranslate(A250, ""es"", ""de"")"),"Airless-Brenner (Airless-Zerstäubung)")</f>
        <v>Airless-Brenner (Airless-Zerstäubung)</v>
      </c>
      <c r="G253" s="3"/>
    </row>
    <row r="254" spans="1:7" ht="242.25" x14ac:dyDescent="0.2">
      <c r="A254" s="18" t="s">
        <v>495</v>
      </c>
      <c r="B254" s="18" t="s">
        <v>150</v>
      </c>
      <c r="C254" s="18" t="s">
        <v>496</v>
      </c>
      <c r="D254" s="18" t="str">
        <f ca="1">IFERROR(__xludf.DUMMYFUNCTION("GoogleTranslate(A251, ""es"", ""en"")"),"conventional torch")</f>
        <v>conventional torch</v>
      </c>
      <c r="E254" s="18" t="str">
        <f ca="1">IFERROR(__xludf.DUMMYFUNCTION("GoogleTranslate(A251, ""es"", ""fr"")"),"torche conventionnelle")</f>
        <v>torche conventionnelle</v>
      </c>
      <c r="F254" s="18" t="str">
        <f ca="1">IFERROR(__xludf.DUMMYFUNCTION("GoogleTranslate(A251, ""es"", ""de"")"),"herkömmliche Taschenlampe")</f>
        <v>herkömmliche Taschenlampe</v>
      </c>
      <c r="G254" s="1"/>
    </row>
    <row r="255" spans="1:7" ht="76.5" x14ac:dyDescent="0.2">
      <c r="A255" s="18" t="s">
        <v>497</v>
      </c>
      <c r="B255" s="18" t="s">
        <v>150</v>
      </c>
      <c r="C255" s="20" t="s">
        <v>498</v>
      </c>
      <c r="D255" s="18" t="str">
        <f ca="1">IFERROR(__xludf.DUMMYFUNCTION("GoogleTranslate(A252, ""es"", ""en"")"),"HVLP torches")</f>
        <v>HVLP torches</v>
      </c>
      <c r="E255" s="18" t="str">
        <f ca="1">IFERROR(__xludf.DUMMYFUNCTION("GoogleTranslate(A252, ""es"", ""fr"")"),"Torches HVLP")</f>
        <v>Torches HVLP</v>
      </c>
      <c r="F255" s="18" t="str">
        <f ca="1">IFERROR(__xludf.DUMMYFUNCTION("GoogleTranslate(A252, ""es"", ""de"")"),"HVLP-Taschenlampen")</f>
        <v>HVLP-Taschenlampen</v>
      </c>
      <c r="G255" s="7"/>
    </row>
    <row r="256" spans="1:7" ht="25.5" x14ac:dyDescent="0.2">
      <c r="A256" s="18" t="s">
        <v>499</v>
      </c>
      <c r="B256" s="18" t="s">
        <v>7</v>
      </c>
      <c r="C256" s="18" t="s">
        <v>500</v>
      </c>
      <c r="D256" s="18" t="str">
        <f ca="1">IFERROR(__xludf.DUMMYFUNCTION("GoogleTranslate(A253, ""es"", ""en"")"),"smoothness")</f>
        <v>smoothness</v>
      </c>
      <c r="E256" s="18" t="str">
        <f ca="1">IFERROR(__xludf.DUMMYFUNCTION("GoogleTranslate(A253, ""es"", ""fr"")"),"douceur")</f>
        <v>douceur</v>
      </c>
      <c r="F256" s="18" t="str">
        <f ca="1">IFERROR(__xludf.DUMMYFUNCTION("GoogleTranslate(A253, ""es"", ""de"")"),"Glätte")</f>
        <v>Glätte</v>
      </c>
      <c r="G256" s="1"/>
    </row>
    <row r="257" spans="1:8" ht="51" x14ac:dyDescent="0.2">
      <c r="A257" s="18" t="s">
        <v>501</v>
      </c>
      <c r="B257" s="18"/>
      <c r="C257" s="18" t="s">
        <v>502</v>
      </c>
      <c r="D257" s="18" t="str">
        <f ca="1">IFERROR(__xludf.DUMMYFUNCTION("GoogleTranslate(A254, ""es"", ""en"")"),"sole")</f>
        <v>sole</v>
      </c>
      <c r="E257" s="18" t="str">
        <f ca="1">IFERROR(__xludf.DUMMYFUNCTION("GoogleTranslate(A254, ""es"", ""fr"")"),"seul")</f>
        <v>seul</v>
      </c>
      <c r="F257" s="18" t="str">
        <f ca="1">IFERROR(__xludf.DUMMYFUNCTION("GoogleTranslate(A254, ""es"", ""de"")"),"Sohle, einzig, alleinig")</f>
        <v>Sohle, einzig, alleinig</v>
      </c>
      <c r="G257" s="1"/>
    </row>
    <row r="258" spans="1:8" ht="27.75" hidden="1" customHeight="1" x14ac:dyDescent="0.2">
      <c r="A258" s="18" t="s">
        <v>503</v>
      </c>
      <c r="B258" s="18"/>
      <c r="C258" s="18" t="s">
        <v>504</v>
      </c>
      <c r="D258" s="18" t="str">
        <f ca="1">IFERROR(__xludf.DUMMYFUNCTION("GoogleTranslate(A255, ""es"", ""en"")"),"carona sole")</f>
        <v>carona sole</v>
      </c>
      <c r="E258" s="18" t="str">
        <f ca="1">IFERROR(__xludf.DUMMYFUNCTION("GoogleTranslate(A255, ""es"", ""fr"")"),"semelle carona")</f>
        <v>semelle carona</v>
      </c>
      <c r="F258" s="18" t="str">
        <f ca="1">IFERROR(__xludf.DUMMYFUNCTION("GoogleTranslate(A255, ""es"", ""de"")"),"Carona-Sohle")</f>
        <v>Carona-Sohle</v>
      </c>
      <c r="G258" s="1"/>
    </row>
    <row r="259" spans="1:8" ht="409.5" x14ac:dyDescent="0.2">
      <c r="A259" s="18" t="s">
        <v>505</v>
      </c>
      <c r="B259" s="18"/>
      <c r="C259" s="18" t="s">
        <v>506</v>
      </c>
      <c r="D259" s="18" t="str">
        <f ca="1">IFERROR(__xludf.DUMMYFUNCTION("GoogleTranslate(A256, ""es"", ""en"")"),"touch")</f>
        <v>touch</v>
      </c>
      <c r="E259" s="18" t="str">
        <f ca="1">IFERROR(__xludf.DUMMYFUNCTION("GoogleTranslate(A256, ""es"", ""fr"")"),"touche")</f>
        <v>touche</v>
      </c>
      <c r="F259" s="18" t="str">
        <f ca="1">IFERROR(__xludf.DUMMYFUNCTION("GoogleTranslate(A256, ""es"", ""de"")"),"berühren")</f>
        <v>berühren</v>
      </c>
      <c r="G259" s="1"/>
    </row>
    <row r="260" spans="1:8" ht="14.25" x14ac:dyDescent="0.2">
      <c r="A260" s="18" t="s">
        <v>507</v>
      </c>
      <c r="B260" s="18" t="s">
        <v>70</v>
      </c>
      <c r="C260" s="23" t="s">
        <v>508</v>
      </c>
      <c r="D260" s="18" t="str">
        <f ca="1">IFERROR(__xludf.DUMMYFUNCTION("GoogleTranslate(A257, ""es"", ""en"")"),"morocco")</f>
        <v>morocco</v>
      </c>
      <c r="E260" s="18" t="str">
        <f ca="1">IFERROR(__xludf.DUMMYFUNCTION("GoogleTranslate(A257, ""es"", ""fr"")"),"Maroc")</f>
        <v>Maroc</v>
      </c>
      <c r="F260" s="18" t="str">
        <f ca="1">IFERROR(__xludf.DUMMYFUNCTION("GoogleTranslate(A257, ""es"", ""de"")"),"Marokko")</f>
        <v>Marokko</v>
      </c>
      <c r="G260" s="1"/>
      <c r="H260" s="2"/>
    </row>
    <row r="261" spans="1:8" ht="38.25" x14ac:dyDescent="0.2">
      <c r="A261" s="18" t="s">
        <v>509</v>
      </c>
      <c r="B261" s="18"/>
      <c r="C261" s="18" t="s">
        <v>510</v>
      </c>
      <c r="D261" s="18" t="str">
        <f ca="1">IFERROR(__xludf.DUMMYFUNCTION("GoogleTranslate(A258, ""es"", ""en"")"),"saddlery (leather)")</f>
        <v>saddlery (leather)</v>
      </c>
      <c r="E261" s="18" t="str">
        <f ca="1">IFERROR(__xludf.DUMMYFUNCTION("GoogleTranslate(A258, ""es"", ""fr"")"),"sellerie (cuir)")</f>
        <v>sellerie (cuir)</v>
      </c>
      <c r="F261" s="18" t="str">
        <f ca="1">IFERROR(__xludf.DUMMYFUNCTION("GoogleTranslate(A258, ""es"", ""de"")"),"Sattlerwaren (Leder)")</f>
        <v>Sattlerwaren (Leder)</v>
      </c>
      <c r="G261" s="1"/>
    </row>
    <row r="262" spans="1:8" ht="76.5" x14ac:dyDescent="0.2">
      <c r="A262" s="18" t="s">
        <v>511</v>
      </c>
      <c r="B262" s="18"/>
      <c r="C262" s="18" t="s">
        <v>512</v>
      </c>
      <c r="D262" s="18" t="str">
        <f ca="1">IFERROR(__xludf.DUMMYFUNCTION("GoogleTranslate(A259, ""es"", ""en"")"),"had")</f>
        <v>had</v>
      </c>
      <c r="E262" s="18" t="str">
        <f ca="1">IFERROR(__xludf.DUMMYFUNCTION("GoogleTranslate(A259, ""es"", ""fr"")"),"avait")</f>
        <v>avait</v>
      </c>
      <c r="F262" s="18" t="str">
        <f ca="1">IFERROR(__xludf.DUMMYFUNCTION("GoogleTranslate(A259, ""es"", ""de"")"),"hatte")</f>
        <v>hatte</v>
      </c>
      <c r="G262" s="1"/>
    </row>
    <row r="263" spans="1:8" ht="25.5" x14ac:dyDescent="0.2">
      <c r="A263" s="18" t="s">
        <v>513</v>
      </c>
      <c r="B263" s="18"/>
      <c r="C263" s="18" t="s">
        <v>514</v>
      </c>
      <c r="D263" s="18" t="str">
        <f ca="1">IFERROR(__xludf.DUMMYFUNCTION("GoogleTranslate(A260, ""es"", ""en"")"),"aniline dyeing")</f>
        <v>aniline dyeing</v>
      </c>
      <c r="E263" s="18" t="str">
        <f ca="1">IFERROR(__xludf.DUMMYFUNCTION("GoogleTranslate(A260, ""es"", ""fr"")"),"teinture à l'aniline")</f>
        <v>teinture à l'aniline</v>
      </c>
      <c r="F263" s="18" t="str">
        <f ca="1">IFERROR(__xludf.DUMMYFUNCTION("GoogleTranslate(A260, ""es"", ""de"")"),"Anilinfärbung")</f>
        <v>Anilinfärbung</v>
      </c>
      <c r="G263" s="1"/>
    </row>
    <row r="264" spans="1:8" ht="12.75" x14ac:dyDescent="0.2">
      <c r="A264" s="18" t="s">
        <v>515</v>
      </c>
      <c r="B264" s="18"/>
      <c r="C264" s="18" t="s">
        <v>516</v>
      </c>
      <c r="D264" s="18" t="str">
        <f ca="1">IFERROR(__xludf.DUMMYFUNCTION("GoogleTranslate(A261, ""es"", ""en"")"),"finished")</f>
        <v>finished</v>
      </c>
      <c r="E264" s="18" t="str">
        <f ca="1">IFERROR(__xludf.DUMMYFUNCTION("GoogleTranslate(A261, ""es"", ""fr"")"),"fini")</f>
        <v>fini</v>
      </c>
      <c r="F264" s="18" t="str">
        <f ca="1">IFERROR(__xludf.DUMMYFUNCTION("GoogleTranslate(A261, ""es"", ""de"")"),"fertig")</f>
        <v>fertig</v>
      </c>
      <c r="G264" s="1"/>
    </row>
    <row r="265" spans="1:8" ht="38.25" x14ac:dyDescent="0.2">
      <c r="A265" s="18" t="s">
        <v>517</v>
      </c>
      <c r="B265" s="18"/>
      <c r="C265" s="18" t="s">
        <v>518</v>
      </c>
      <c r="D265" s="18" t="str">
        <f ca="1">IFERROR(__xludf.DUMMYFUNCTION("GoogleTranslate(A262, ""es"", ""en"")"),"veal")</f>
        <v>veal</v>
      </c>
      <c r="E265" s="18" t="str">
        <f ca="1">IFERROR(__xludf.DUMMYFUNCTION("GoogleTranslate(A262, ""es"", ""fr"")"),"veau")</f>
        <v>veau</v>
      </c>
      <c r="F265" s="18" t="str">
        <f ca="1">IFERROR(__xludf.DUMMYFUNCTION("GoogleTranslate(A262, ""es"", ""de"")"),"Kalbfleisch")</f>
        <v>Kalbfleisch</v>
      </c>
      <c r="G265" s="1"/>
    </row>
    <row r="266" spans="1:8" ht="25.5" x14ac:dyDescent="0.2">
      <c r="A266" s="18" t="s">
        <v>519</v>
      </c>
      <c r="B266" s="18"/>
      <c r="C266" s="18" t="s">
        <v>520</v>
      </c>
      <c r="D266" s="18" t="str">
        <f ca="1">IFERROR(__xludf.DUMMYFUNCTION("GoogleTranslate(A263, ""es"", ""en"")"),"plush veal")</f>
        <v>plush veal</v>
      </c>
      <c r="E266" s="18" t="str">
        <f ca="1">IFERROR(__xludf.DUMMYFUNCTION("GoogleTranslate(A263, ""es"", ""fr"")"),"veau en peluche")</f>
        <v>veau en peluche</v>
      </c>
      <c r="F266" s="18" t="str">
        <f ca="1">IFERROR(__xludf.DUMMYFUNCTION("GoogleTranslate(A263, ""es"", ""de"")"),"Plüschkalbfleisch")</f>
        <v>Plüschkalbfleisch</v>
      </c>
      <c r="G266" s="1"/>
    </row>
    <row r="267" spans="1:8" ht="38.25" x14ac:dyDescent="0.2">
      <c r="A267" s="18" t="s">
        <v>521</v>
      </c>
      <c r="B267" s="18"/>
      <c r="C267" s="18" t="s">
        <v>522</v>
      </c>
      <c r="D267" s="18" t="str">
        <f ca="1">IFERROR(__xludf.DUMMYFUNCTION("GoogleTranslate(A264, ""es"", ""en"")"),"plush oiled beef")</f>
        <v>plush oiled beef</v>
      </c>
      <c r="E267" s="18" t="str">
        <f ca="1">IFERROR(__xludf.DUMMYFUNCTION("GoogleTranslate(A264, ""es"", ""fr"")"),"boeuf huilé en peluche")</f>
        <v>boeuf huilé en peluche</v>
      </c>
      <c r="F267" s="18" t="str">
        <f ca="1">IFERROR(__xludf.DUMMYFUNCTION("GoogleTranslate(A264, ""es"", ""de"")"),"weiches, geöltes Rindfleisch")</f>
        <v>weiches, geöltes Rindfleisch</v>
      </c>
      <c r="G267" s="1"/>
    </row>
    <row r="268" spans="1:8" ht="25.5" x14ac:dyDescent="0.2">
      <c r="A268" s="18" t="s">
        <v>523</v>
      </c>
      <c r="B268" s="18"/>
      <c r="C268" s="18" t="s">
        <v>524</v>
      </c>
      <c r="D268" s="18" t="str">
        <f ca="1">IFERROR(__xludf.DUMMYFUNCTION("GoogleTranslate(A265, ""es"", ""en"")"),"testuz")</f>
        <v>testuz</v>
      </c>
      <c r="E268" s="18" t="str">
        <f ca="1">IFERROR(__xludf.DUMMYFUNCTION("GoogleTranslate(A265, ""es"", ""fr"")"),"testuz")</f>
        <v>testuz</v>
      </c>
      <c r="F268" s="18" t="str">
        <f ca="1">IFERROR(__xludf.DUMMYFUNCTION("GoogleTranslate(A265, ""es"", ""de"")"),"testuz")</f>
        <v>testuz</v>
      </c>
      <c r="G268" s="1"/>
    </row>
    <row r="269" spans="1:8" ht="51" x14ac:dyDescent="0.2">
      <c r="A269" s="18" t="s">
        <v>525</v>
      </c>
      <c r="B269" s="18"/>
      <c r="C269" s="18" t="s">
        <v>526</v>
      </c>
      <c r="D269" s="18" t="str">
        <f ca="1">IFERROR(__xludf.DUMMYFUNCTION("GoogleTranslate(A266, ""es"", ""en"")"),"strips")</f>
        <v>strips</v>
      </c>
      <c r="E269" s="18" t="str">
        <f ca="1">IFERROR(__xludf.DUMMYFUNCTION("GoogleTranslate(A266, ""es"", ""fr"")"),"bandes")</f>
        <v>bandes</v>
      </c>
      <c r="F269" s="18" t="str">
        <f ca="1">IFERROR(__xludf.DUMMYFUNCTION("GoogleTranslate(A266, ""es"", ""de"")"),"Streifen")</f>
        <v>Streifen</v>
      </c>
      <c r="G269" s="1"/>
    </row>
    <row r="270" spans="1:8" ht="38.25" x14ac:dyDescent="0.2">
      <c r="A270" s="18" t="s">
        <v>527</v>
      </c>
      <c r="B270" s="18"/>
      <c r="C270" s="18" t="s">
        <v>528</v>
      </c>
      <c r="D270" s="18" t="str">
        <f ca="1">IFERROR(__xludf.DUMMYFUNCTION("GoogleTranslate(A267, ""es"", ""en"")"),"guts (skin on)")</f>
        <v>guts (skin on)</v>
      </c>
      <c r="E270" s="18" t="str">
        <f ca="1">IFERROR(__xludf.DUMMYFUNCTION("GoogleTranslate(A267, ""es"", ""fr"")"),"boyaux (avec la peau)")</f>
        <v>boyaux (avec la peau)</v>
      </c>
      <c r="F270" s="18" t="str">
        <f ca="1">IFERROR(__xludf.DUMMYFUNCTION("GoogleTranslate(A267, ""es"", ""de"")"),"Eingeweide (auf der Haut)")</f>
        <v>Eingeweide (auf der Haut)</v>
      </c>
      <c r="G270" s="1"/>
    </row>
    <row r="271" spans="1:8" ht="89.25" x14ac:dyDescent="0.2">
      <c r="A271" s="18" t="s">
        <v>529</v>
      </c>
      <c r="B271" s="18" t="s">
        <v>70</v>
      </c>
      <c r="C271" s="20" t="s">
        <v>530</v>
      </c>
      <c r="D271" s="18" t="str">
        <f ca="1">IFERROR(__xludf.DUMMYFUNCTION("GoogleTranslate(A268, ""es"", ""en"")"),"pumped cow")</f>
        <v>pumped cow</v>
      </c>
      <c r="E271" s="18" t="str">
        <f ca="1">IFERROR(__xludf.DUMMYFUNCTION("GoogleTranslate(A268, ""es"", ""fr"")"),"vache pompée")</f>
        <v>vache pompée</v>
      </c>
      <c r="F271" s="18" t="str">
        <f ca="1">IFERROR(__xludf.DUMMYFUNCTION("GoogleTranslate(A268, ""es"", ""de"")"),"gepumpte Kuh")</f>
        <v>gepumpte Kuh</v>
      </c>
      <c r="G271" s="1"/>
      <c r="H271" s="2"/>
    </row>
    <row r="272" spans="1:8" ht="25.5" x14ac:dyDescent="0.2">
      <c r="A272" s="18" t="s">
        <v>531</v>
      </c>
      <c r="B272" s="18"/>
      <c r="C272" s="18" t="s">
        <v>532</v>
      </c>
      <c r="D272" s="18" t="str">
        <f ca="1">IFERROR(__xludf.DUMMYFUNCTION("GoogleTranslate(A269, ""es"", ""en"")"),"cow (leather)")</f>
        <v>cow (leather)</v>
      </c>
      <c r="E272" s="18" t="str">
        <f ca="1">IFERROR(__xludf.DUMMYFUNCTION("GoogleTranslate(A269, ""es"", ""fr"")"),"cuir de vache)")</f>
        <v>cuir de vache)</v>
      </c>
      <c r="F272" s="18" t="str">
        <f ca="1">IFERROR(__xludf.DUMMYFUNCTION("GoogleTranslate(A269, ""es"", ""de"")"),"Kuh (Leder)")</f>
        <v>Kuh (Leder)</v>
      </c>
      <c r="G272" s="1"/>
    </row>
    <row r="273" spans="1:8" ht="76.5" x14ac:dyDescent="0.2">
      <c r="A273" s="18" t="s">
        <v>533</v>
      </c>
      <c r="B273" s="18"/>
      <c r="C273" s="18" t="s">
        <v>534</v>
      </c>
      <c r="D273" s="18" t="str">
        <f ca="1">IFERROR(__xludf.DUMMYFUNCTION("GoogleTranslate(A270, ""es"", ""en"")"),"suitcase cover")</f>
        <v>suitcase cover</v>
      </c>
      <c r="E273" s="18" t="str">
        <f ca="1">IFERROR(__xludf.DUMMYFUNCTION("GoogleTranslate(A270, ""es"", ""fr"")"),"housse de valise")</f>
        <v>housse de valise</v>
      </c>
      <c r="F273" s="18" t="str">
        <f ca="1">IFERROR(__xludf.DUMMYFUNCTION("GoogleTranslate(A270, ""es"", ""de"")"),"Kofferhülle")</f>
        <v>Kofferhülle</v>
      </c>
      <c r="G273" s="1"/>
    </row>
    <row r="274" spans="1:8" ht="76.5" x14ac:dyDescent="0.2">
      <c r="A274" s="18" t="s">
        <v>535</v>
      </c>
      <c r="B274" s="18" t="s">
        <v>70</v>
      </c>
      <c r="C274" s="18" t="s">
        <v>536</v>
      </c>
      <c r="D274" s="18" t="str">
        <f ca="1">IFERROR(__xludf.DUMMYFUNCTION("GoogleTranslate(A271, ""es"", ""en"")"),"cow")</f>
        <v>cow</v>
      </c>
      <c r="E274" s="18" t="str">
        <f ca="1">IFERROR(__xludf.DUMMYFUNCTION("GoogleTranslate(A271, ""es"", ""fr"")"),"vache")</f>
        <v>vache</v>
      </c>
      <c r="F274" s="18" t="str">
        <f ca="1">IFERROR(__xludf.DUMMYFUNCTION("GoogleTranslate(A271, ""es"", ""de"")"),"Kuh")</f>
        <v>Kuh</v>
      </c>
      <c r="G274" s="1"/>
      <c r="H274" s="2"/>
    </row>
    <row r="275" spans="1:8" ht="25.5" x14ac:dyDescent="0.2">
      <c r="A275" s="18" t="s">
        <v>537</v>
      </c>
      <c r="B275" s="18"/>
      <c r="C275" s="18" t="s">
        <v>538</v>
      </c>
      <c r="D275" s="18" t="str">
        <f ca="1">IFERROR(__xludf.DUMMYFUNCTION("GoogleTranslate(A272, ""es"", ""en"")"),"velvet")</f>
        <v>velvet</v>
      </c>
      <c r="E275" s="18" t="str">
        <f ca="1">IFERROR(__xludf.DUMMYFUNCTION("GoogleTranslate(A272, ""es"", ""fr"")"),"velours")</f>
        <v>velours</v>
      </c>
      <c r="F275" s="18" t="str">
        <f ca="1">IFERROR(__xludf.DUMMYFUNCTION("GoogleTranslate(A272, ""es"", ""de"")"),"Samt")</f>
        <v>Samt</v>
      </c>
      <c r="G275" s="1"/>
    </row>
    <row r="276" spans="1:8" ht="25.5" x14ac:dyDescent="0.2">
      <c r="A276" s="18" t="s">
        <v>539</v>
      </c>
      <c r="B276" s="18" t="s">
        <v>70</v>
      </c>
      <c r="C276" s="23" t="s">
        <v>540</v>
      </c>
      <c r="D276" s="18" t="str">
        <f ca="1">IFERROR(__xludf.DUMMYFUNCTION("GoogleTranslate(A273, ""es"", ""en"")"),"vellum")</f>
        <v>vellum</v>
      </c>
      <c r="E276" s="18" t="str">
        <f ca="1">IFERROR(__xludf.DUMMYFUNCTION("GoogleTranslate(A273, ""es"", ""fr"")"),"vélin")</f>
        <v>vélin</v>
      </c>
      <c r="F276" s="18" t="str">
        <f ca="1">IFERROR(__xludf.DUMMYFUNCTION("GoogleTranslate(A273, ""es"", ""de"")"),"Pergament")</f>
        <v>Pergament</v>
      </c>
      <c r="G276" s="1"/>
      <c r="H276" s="2"/>
    </row>
    <row r="277" spans="1:8" ht="25.5" x14ac:dyDescent="0.2">
      <c r="A277" s="18" t="s">
        <v>541</v>
      </c>
      <c r="B277" s="18"/>
      <c r="C277" s="18" t="s">
        <v>542</v>
      </c>
      <c r="D277" s="18" t="str">
        <f ca="1">IFERROR(__xludf.DUMMYFUNCTION("GoogleTranslate(A274, ""es"", ""en"")"),"wet-blue")</f>
        <v>wet-blue</v>
      </c>
      <c r="E277" s="18" t="str">
        <f ca="1">IFERROR(__xludf.DUMMYFUNCTION("GoogleTranslate(A274, ""es"", ""fr"")"),"bleu mouillé")</f>
        <v>bleu mouillé</v>
      </c>
      <c r="F277" s="18" t="str">
        <f ca="1">IFERROR(__xludf.DUMMYFUNCTION("GoogleTranslate(A274, ""es"", ""de"")"),"Nasses Blau")</f>
        <v>Nasses Blau</v>
      </c>
      <c r="G277" s="1"/>
    </row>
    <row r="278" spans="1:8" ht="191.25" x14ac:dyDescent="0.2">
      <c r="A278" s="18" t="s">
        <v>543</v>
      </c>
      <c r="B278" s="18"/>
      <c r="C278" s="18" t="s">
        <v>544</v>
      </c>
      <c r="D278" s="18" t="str">
        <f ca="1">IFERROR(__xludf.DUMMYFUNCTION("GoogleTranslate(A275, ""es"", ""en"")"),"wet-white")</f>
        <v>wet-white</v>
      </c>
      <c r="E278" s="18" t="str">
        <f ca="1">IFERROR(__xludf.DUMMYFUNCTION("GoogleTranslate(A275, ""es"", ""fr"")"),"blanc mouillé")</f>
        <v>blanc mouillé</v>
      </c>
      <c r="F278" s="18" t="str">
        <f ca="1">IFERROR(__xludf.DUMMYFUNCTION("GoogleTranslate(A275, ""es"", ""de"")"),"nassweiß")</f>
        <v>nassweiß</v>
      </c>
      <c r="G278" s="1"/>
    </row>
    <row r="279" spans="1:8" ht="51" x14ac:dyDescent="0.2">
      <c r="A279" s="18" t="s">
        <v>545</v>
      </c>
      <c r="B279" s="18"/>
      <c r="C279" s="18" t="s">
        <v>546</v>
      </c>
      <c r="D279" s="18" t="str">
        <f ca="1">IFERROR(__xludf.DUMMYFUNCTION("GoogleTranslate(A276, ""es"", ""en"")"),"jute")</f>
        <v>jute</v>
      </c>
      <c r="E279" s="18" t="str">
        <f ca="1">IFERROR(__xludf.DUMMYFUNCTION("GoogleTranslate(A276, ""es"", ""fr"")"),"jute")</f>
        <v>jute</v>
      </c>
      <c r="F279" s="18" t="str">
        <f ca="1">IFERROR(__xludf.DUMMYFUNCTION("GoogleTranslate(A276, ""es"", ""de"")"),"Jute")</f>
        <v>Jute</v>
      </c>
      <c r="G279" s="1"/>
    </row>
    <row r="280" spans="1:8" ht="63.75" x14ac:dyDescent="0.2">
      <c r="A280" s="18" t="s">
        <v>547</v>
      </c>
      <c r="B280" s="18"/>
      <c r="C280" s="18" t="s">
        <v>548</v>
      </c>
      <c r="D280" s="18" t="str">
        <f ca="1">IFERROR(__xludf.DUMMYFUNCTION("GoogleTranslate(A277, ""es"", ""en"")"),"youth (leather)")</f>
        <v>youth (leather)</v>
      </c>
      <c r="E280" s="18" t="str">
        <f ca="1">IFERROR(__xludf.DUMMYFUNCTION("GoogleTranslate(A277, ""es"", ""fr"")"),"jeunesse (cuir)")</f>
        <v>jeunesse (cuir)</v>
      </c>
      <c r="F280" s="18" t="str">
        <f ca="1">IFERROR(__xludf.DUMMYFUNCTION("GoogleTranslate(A277, ""es"", ""de"")"),"Jugend (Leder)")</f>
        <v>Jugend (Leder)</v>
      </c>
      <c r="G280" s="1"/>
    </row>
    <row r="281" spans="1:8" ht="51" x14ac:dyDescent="0.2">
      <c r="A281" s="18" t="s">
        <v>549</v>
      </c>
      <c r="B281" s="18"/>
      <c r="C281" s="18" t="s">
        <v>550</v>
      </c>
      <c r="D281" s="18" t="str">
        <f ca="1">IFERROR(__xludf.DUMMYFUNCTION("GoogleTranslate(A278, ""es"", ""en"")"),"jockey")</f>
        <v>jockey</v>
      </c>
      <c r="E281" s="18" t="str">
        <f ca="1">IFERROR(__xludf.DUMMYFUNCTION("GoogleTranslate(A278, ""es"", ""fr"")"),"jockey")</f>
        <v>jockey</v>
      </c>
      <c r="F281" s="18" t="str">
        <f ca="1">IFERROR(__xludf.DUMMYFUNCTION("GoogleTranslate(A278, ""es"", ""de"")"),"Jockey")</f>
        <v>Jockey</v>
      </c>
      <c r="G281" s="1"/>
    </row>
    <row r="282" spans="1:8" ht="38.25" x14ac:dyDescent="0.2">
      <c r="A282" s="18" t="s">
        <v>551</v>
      </c>
      <c r="B282" s="18"/>
      <c r="C282" s="18" t="s">
        <v>552</v>
      </c>
      <c r="D282" s="18" t="str">
        <f ca="1">IFERROR(__xludf.DUMMYFUNCTION("GoogleTranslate(A279, ""es"", ""en"")"),"inside out skin")</f>
        <v>inside out skin</v>
      </c>
      <c r="E282" s="18" t="str">
        <f ca="1">IFERROR(__xludf.DUMMYFUNCTION("GoogleTranslate(A279, ""es"", ""fr"")"),"peau à l'envers")</f>
        <v>peau à l'envers</v>
      </c>
      <c r="F282" s="18" t="str">
        <f ca="1">IFERROR(__xludf.DUMMYFUNCTION("GoogleTranslate(A279, ""es"", ""de"")"),"Haut von innen nach außen")</f>
        <v>Haut von innen nach außen</v>
      </c>
      <c r="G282" s="1"/>
    </row>
    <row r="283" spans="1:8" ht="63.75" x14ac:dyDescent="0.2">
      <c r="A283" s="18" t="s">
        <v>553</v>
      </c>
      <c r="B283" s="18"/>
      <c r="C283" s="18" t="s">
        <v>554</v>
      </c>
      <c r="D283" s="18" t="str">
        <f ca="1">IFERROR(__xludf.DUMMYFUNCTION("GoogleTranslate(A280, ""es"", ""en"")"),"interwoven skin")</f>
        <v>interwoven skin</v>
      </c>
      <c r="E283" s="18" t="str">
        <f ca="1">IFERROR(__xludf.DUMMYFUNCTION("GoogleTranslate(A280, ""es"", ""fr"")"),"peau entrelacée")</f>
        <v>peau entrelacée</v>
      </c>
      <c r="F283" s="18" t="str">
        <f ca="1">IFERROR(__xludf.DUMMYFUNCTION("GoogleTranslate(A280, ""es"", ""de"")"),"verwobene Haut")</f>
        <v>verwobene Haut</v>
      </c>
      <c r="G283" s="1"/>
    </row>
    <row r="284" spans="1:8" ht="63.75" x14ac:dyDescent="0.2">
      <c r="A284" s="18" t="s">
        <v>555</v>
      </c>
      <c r="B284" s="18"/>
      <c r="C284" s="18" t="s">
        <v>556</v>
      </c>
      <c r="D284" s="18" t="str">
        <f ca="1">IFERROR(__xludf.DUMMYFUNCTION("GoogleTranslate(A281, ""es"", ""en"")"),"intarsia skin")</f>
        <v>intarsia skin</v>
      </c>
      <c r="E284" s="18" t="str">
        <f ca="1">IFERROR(__xludf.DUMMYFUNCTION("GoogleTranslate(A281, ""es"", ""fr"")"),"peau intarsia")</f>
        <v>peau intarsia</v>
      </c>
      <c r="F284" s="18" t="str">
        <f ca="1">IFERROR(__xludf.DUMMYFUNCTION("GoogleTranslate(A281, ""es"", ""de"")"),"Intarsienhaut")</f>
        <v>Intarsienhaut</v>
      </c>
      <c r="G284" s="1"/>
    </row>
    <row r="285" spans="1:8" ht="63.75" x14ac:dyDescent="0.2">
      <c r="A285" s="18" t="s">
        <v>557</v>
      </c>
      <c r="B285" s="18"/>
      <c r="C285" s="18" t="s">
        <v>558</v>
      </c>
      <c r="D285" s="18" t="str">
        <f ca="1">IFERROR(__xludf.DUMMYFUNCTION("GoogleTranslate(A282, ""es"", ""en"")"),"ironed leather")</f>
        <v>ironed leather</v>
      </c>
      <c r="E285" s="18" t="str">
        <f ca="1">IFERROR(__xludf.DUMMYFUNCTION("GoogleTranslate(A282, ""es"", ""fr"")"),"cuir repassé")</f>
        <v>cuir repassé</v>
      </c>
      <c r="F285" s="18" t="str">
        <f ca="1">IFERROR(__xludf.DUMMYFUNCTION("GoogleTranslate(A282, ""es"", ""de"")"),"gebügeltes Leder")</f>
        <v>gebügeltes Leder</v>
      </c>
      <c r="G285" s="1"/>
    </row>
    <row r="286" spans="1:8" ht="38.25" x14ac:dyDescent="0.2">
      <c r="A286" s="18" t="s">
        <v>559</v>
      </c>
      <c r="B286" s="18"/>
      <c r="C286" s="18" t="s">
        <v>560</v>
      </c>
      <c r="D286" s="18" t="str">
        <f ca="1">IFERROR(__xludf.DUMMYFUNCTION("GoogleTranslate(A283, ""es"", ""en"")"),"reverse seam")</f>
        <v>reverse seam</v>
      </c>
      <c r="E286" s="18" t="str">
        <f ca="1">IFERROR(__xludf.DUMMYFUNCTION("GoogleTranslate(A283, ""es"", ""fr"")"),"couture inversée")</f>
        <v>couture inversée</v>
      </c>
      <c r="F286" s="18" t="str">
        <f ca="1">IFERROR(__xludf.DUMMYFUNCTION("GoogleTranslate(A283, ""es"", ""de"")"),"Rücknaht")</f>
        <v>Rücknaht</v>
      </c>
      <c r="G286" s="1"/>
    </row>
    <row r="287" spans="1:8" ht="51" x14ac:dyDescent="0.2">
      <c r="A287" s="18" t="s">
        <v>561</v>
      </c>
      <c r="B287" s="18"/>
      <c r="C287" s="18" t="s">
        <v>562</v>
      </c>
      <c r="D287" s="18" t="str">
        <f ca="1">IFERROR(__xludf.DUMMYFUNCTION("GoogleTranslate(A284, ""es"", ""en"")"),"interlining")</f>
        <v>interlining</v>
      </c>
      <c r="E287" s="18" t="str">
        <f ca="1">IFERROR(__xludf.DUMMYFUNCTION("GoogleTranslate(A284, ""es"", ""fr"")"),"entoilage")</f>
        <v>entoilage</v>
      </c>
      <c r="F287" s="18" t="str">
        <f ca="1">IFERROR(__xludf.DUMMYFUNCTION("GoogleTranslate(A284, ""es"", ""de"")"),"Einlage")</f>
        <v>Einlage</v>
      </c>
      <c r="G287" s="1"/>
    </row>
    <row r="288" spans="1:8" ht="63.75" x14ac:dyDescent="0.2">
      <c r="A288" s="18" t="s">
        <v>563</v>
      </c>
      <c r="B288" s="18"/>
      <c r="C288" s="18" t="s">
        <v>564</v>
      </c>
      <c r="D288" s="18" t="str">
        <f ca="1">IFERROR(__xludf.DUMMYFUNCTION("GoogleTranslate(A285, ""es"", ""en"")"),"ink resistant leather")</f>
        <v>ink resistant leather</v>
      </c>
      <c r="E288" s="18" t="str">
        <f ca="1">IFERROR(__xludf.DUMMYFUNCTION("GoogleTranslate(A285, ""es"", ""fr"")"),"cuir résistant à l'encre")</f>
        <v>cuir résistant à l'encre</v>
      </c>
      <c r="F288" s="18" t="str">
        <f ca="1">IFERROR(__xludf.DUMMYFUNCTION("GoogleTranslate(A285, ""es"", ""de"")"),"tintenbeständiges Leder")</f>
        <v>tintenbeständiges Leder</v>
      </c>
      <c r="G288" s="1"/>
    </row>
    <row r="289" spans="1:7" ht="51" x14ac:dyDescent="0.2">
      <c r="A289" s="18" t="s">
        <v>565</v>
      </c>
      <c r="B289" s="18"/>
      <c r="C289" s="18" t="s">
        <v>566</v>
      </c>
      <c r="D289" s="18" t="str">
        <f ca="1">IFERROR(__xludf.DUMMYFUNCTION("GoogleTranslate(A286, ""es"", ""en"")"),"incrustation")</f>
        <v>incrustation</v>
      </c>
      <c r="E289" s="18" t="str">
        <f ca="1">IFERROR(__xludf.DUMMYFUNCTION("GoogleTranslate(A286, ""es"", ""fr"")"),"incrustation")</f>
        <v>incrustation</v>
      </c>
      <c r="F289" s="18" t="str">
        <f ca="1">IFERROR(__xludf.DUMMYFUNCTION("GoogleTranslate(A286, ""es"", ""de"")"),"Verkrustung")</f>
        <v>Verkrustung</v>
      </c>
      <c r="G289" s="1"/>
    </row>
    <row r="290" spans="1:7" ht="51" x14ac:dyDescent="0.2">
      <c r="A290" s="18" t="s">
        <v>567</v>
      </c>
      <c r="B290" s="18"/>
      <c r="C290" s="18" t="s">
        <v>568</v>
      </c>
      <c r="D290" s="18" t="str">
        <f ca="1">IFERROR(__xludf.DUMMYFUNCTION("GoogleTranslate(A287, ""es"", ""en"")"),"ingrain leather")</f>
        <v>ingrain leather</v>
      </c>
      <c r="E290" s="18" t="str">
        <f ca="1">IFERROR(__xludf.DUMMYFUNCTION("GoogleTranslate(A287, ""es"", ""fr"")"),"cuir pleine fleur")</f>
        <v>cuir pleine fleur</v>
      </c>
      <c r="F290" s="18" t="str">
        <f ca="1">IFERROR(__xludf.DUMMYFUNCTION("GoogleTranslate(A287, ""es"", ""de"")"),"genarbtes Leder")</f>
        <v>genarbtes Leder</v>
      </c>
      <c r="G290" s="1"/>
    </row>
    <row r="291" spans="1:7" ht="51" x14ac:dyDescent="0.2">
      <c r="A291" s="18" t="s">
        <v>569</v>
      </c>
      <c r="B291" s="18"/>
      <c r="C291" s="18" t="s">
        <v>570</v>
      </c>
      <c r="D291" s="18" t="str">
        <f ca="1">IFERROR(__xludf.DUMMYFUNCTION("GoogleTranslate(A288, ""es"", ""en"")"),"irish skin")</f>
        <v>irish skin</v>
      </c>
      <c r="E291" s="18" t="str">
        <f ca="1">IFERROR(__xludf.DUMMYFUNCTION("GoogleTranslate(A288, ""es"", ""fr"")"),"peau irlandaise")</f>
        <v>peau irlandaise</v>
      </c>
      <c r="F291" s="18" t="str">
        <f ca="1">IFERROR(__xludf.DUMMYFUNCTION("GoogleTranslate(A288, ""es"", ""de"")"),"irische Haut")</f>
        <v>irische Haut</v>
      </c>
      <c r="G291" s="1"/>
    </row>
    <row r="292" spans="1:7" ht="51" x14ac:dyDescent="0.2">
      <c r="A292" s="18" t="s">
        <v>571</v>
      </c>
      <c r="B292" s="18"/>
      <c r="C292" s="18" t="s">
        <v>572</v>
      </c>
      <c r="D292" s="18" t="str">
        <f ca="1">IFERROR(__xludf.DUMMYFUNCTION("GoogleTranslate(A289, ""es"", ""en"")"),"ivory leather")</f>
        <v>ivory leather</v>
      </c>
      <c r="E292" s="18" t="str">
        <f ca="1">IFERROR(__xludf.DUMMYFUNCTION("GoogleTranslate(A289, ""es"", ""fr"")"),"cuir ivoire")</f>
        <v>cuir ivoire</v>
      </c>
      <c r="F292" s="18" t="str">
        <f ca="1">IFERROR(__xludf.DUMMYFUNCTION("GoogleTranslate(A289, ""es"", ""de"")"),"Elfenbeinfarbenes Leder")</f>
        <v>Elfenbeinfarbenes Leder</v>
      </c>
      <c r="G292" s="1"/>
    </row>
    <row r="293" spans="1:7" ht="63.75" x14ac:dyDescent="0.2">
      <c r="A293" s="18" t="s">
        <v>573</v>
      </c>
      <c r="B293" s="18"/>
      <c r="C293" s="18" t="s">
        <v>574</v>
      </c>
      <c r="D293" s="18" t="str">
        <f ca="1">IFERROR(__xludf.DUMMYFUNCTION("GoogleTranslate(A290, ""es"", ""en"")"),"insolvent")</f>
        <v>insolvent</v>
      </c>
      <c r="E293" s="18" t="str">
        <f ca="1">IFERROR(__xludf.DUMMYFUNCTION("GoogleTranslate(A290, ""es"", ""fr"")"),"insolvable")</f>
        <v>insolvable</v>
      </c>
      <c r="F293" s="18" t="str">
        <f ca="1">IFERROR(__xludf.DUMMYFUNCTION("GoogleTranslate(A290, ""es"", ""de"")"),"zahlungsunfähig")</f>
        <v>zahlungsunfähig</v>
      </c>
      <c r="G293" s="1"/>
    </row>
    <row r="294" spans="1:7" ht="51" x14ac:dyDescent="0.2">
      <c r="A294" s="18" t="s">
        <v>575</v>
      </c>
      <c r="B294" s="18"/>
      <c r="C294" s="18" t="s">
        <v>576</v>
      </c>
      <c r="D294" s="18" t="str">
        <f ca="1">IFERROR(__xludf.DUMMYFUNCTION("GoogleTranslate(A291, ""es"", ""en"")"),"ironing")</f>
        <v>ironing</v>
      </c>
      <c r="E294" s="18" t="str">
        <f ca="1">IFERROR(__xludf.DUMMYFUNCTION("GoogleTranslate(A291, ""es"", ""fr"")"),"repassage")</f>
        <v>repassage</v>
      </c>
      <c r="F294" s="18" t="str">
        <f ca="1">IFERROR(__xludf.DUMMYFUNCTION("GoogleTranslate(A291, ""es"", ""de"")"),"Bügeln")</f>
        <v>Bügeln</v>
      </c>
      <c r="G294" s="1"/>
    </row>
    <row r="295" spans="1:7" ht="63.75" x14ac:dyDescent="0.2">
      <c r="A295" s="18" t="s">
        <v>577</v>
      </c>
      <c r="B295" s="18"/>
      <c r="C295" s="18" t="s">
        <v>578</v>
      </c>
      <c r="D295" s="18" t="str">
        <f ca="1">IFERROR(__xludf.DUMMYFUNCTION("GoogleTranslate(A292, ""es"", ""en"")"),"inverted skin")</f>
        <v>inverted skin</v>
      </c>
      <c r="E295" s="18" t="str">
        <f ca="1">IFERROR(__xludf.DUMMYFUNCTION("GoogleTranslate(A292, ""es"", ""fr"")"),"peau inversée")</f>
        <v>peau inversée</v>
      </c>
      <c r="F295" s="18" t="str">
        <f ca="1">IFERROR(__xludf.DUMMYFUNCTION("GoogleTranslate(A292, ""es"", ""de"")"),"umgekehrte Haut")</f>
        <v>umgekehrte Haut</v>
      </c>
      <c r="G295" s="1"/>
    </row>
    <row r="296" spans="1:7" ht="51" x14ac:dyDescent="0.2">
      <c r="A296" s="18" t="s">
        <v>579</v>
      </c>
      <c r="B296" s="18"/>
      <c r="C296" s="18" t="s">
        <v>580</v>
      </c>
      <c r="D296" s="18" t="str">
        <f ca="1">IFERROR(__xludf.DUMMYFUNCTION("GoogleTranslate(A293, ""es"", ""en"")"),"italian leather")</f>
        <v>italian leather</v>
      </c>
      <c r="E296" s="18" t="str">
        <f ca="1">IFERROR(__xludf.DUMMYFUNCTION("GoogleTranslate(A293, ""es"", ""fr"")"),"cuir italien")</f>
        <v>cuir italien</v>
      </c>
      <c r="F296" s="18" t="str">
        <f ca="1">IFERROR(__xludf.DUMMYFUNCTION("GoogleTranslate(A293, ""es"", ""de"")"),"italienisches Leder")</f>
        <v>italienisches Leder</v>
      </c>
      <c r="G296" s="1"/>
    </row>
    <row r="297" spans="1:7" ht="51" x14ac:dyDescent="0.2">
      <c r="A297" s="18" t="s">
        <v>581</v>
      </c>
      <c r="B297" s="18"/>
      <c r="C297" s="18" t="s">
        <v>582</v>
      </c>
      <c r="D297" s="18" t="str">
        <f ca="1">IFERROR(__xludf.DUMMYFUNCTION("GoogleTranslate(A294, ""es"", ""en"")"),"imitation leather")</f>
        <v>imitation leather</v>
      </c>
      <c r="E297" s="18" t="str">
        <f ca="1">IFERROR(__xludf.DUMMYFUNCTION("GoogleTranslate(A294, ""es"", ""fr"")"),"faux cuir")</f>
        <v>faux cuir</v>
      </c>
      <c r="F297" s="18" t="str">
        <f ca="1">IFERROR(__xludf.DUMMYFUNCTION("GoogleTranslate(A294, ""es"", ""de"")"),"Kunstleder")</f>
        <v>Kunstleder</v>
      </c>
      <c r="G297" s="1"/>
    </row>
    <row r="298" spans="1:7" ht="51" x14ac:dyDescent="0.2">
      <c r="A298" s="18" t="s">
        <v>583</v>
      </c>
      <c r="B298" s="18"/>
      <c r="C298" s="18" t="s">
        <v>584</v>
      </c>
      <c r="D298" s="18" t="str">
        <f ca="1">IFERROR(__xludf.DUMMYFUNCTION("GoogleTranslate(A295, ""es"", ""en"")"),"template")</f>
        <v>template</v>
      </c>
      <c r="E298" s="18" t="str">
        <f ca="1">IFERROR(__xludf.DUMMYFUNCTION("GoogleTranslate(A295, ""es"", ""fr"")"),"modèle")</f>
        <v>modèle</v>
      </c>
      <c r="F298" s="18" t="str">
        <f ca="1">IFERROR(__xludf.DUMMYFUNCTION("GoogleTranslate(A295, ""es"", ""de"")"),"Vorlage")</f>
        <v>Vorlage</v>
      </c>
      <c r="G298" s="1"/>
    </row>
    <row r="299" spans="1:7" ht="51" x14ac:dyDescent="0.2">
      <c r="A299" s="18" t="s">
        <v>585</v>
      </c>
      <c r="B299" s="18"/>
      <c r="C299" s="18" t="s">
        <v>586</v>
      </c>
      <c r="D299" s="18" t="str">
        <f ca="1">IFERROR(__xludf.DUMMYFUNCTION("GoogleTranslate(A296, ""es"", ""en"")"),"leather glue")</f>
        <v>leather glue</v>
      </c>
      <c r="E299" s="18" t="str">
        <f ca="1">IFERROR(__xludf.DUMMYFUNCTION("GoogleTranslate(A296, ""es"", ""fr"")"),"colle pour cuir")</f>
        <v>colle pour cuir</v>
      </c>
      <c r="F299" s="18" t="str">
        <f ca="1">IFERROR(__xludf.DUMMYFUNCTION("GoogleTranslate(A296, ""es"", ""de"")"),"Lederkleber")</f>
        <v>Lederkleber</v>
      </c>
      <c r="G299" s="1"/>
    </row>
    <row r="300" spans="1:7" ht="51" x14ac:dyDescent="0.2">
      <c r="A300" s="18" t="s">
        <v>587</v>
      </c>
      <c r="B300" s="18"/>
      <c r="C300" s="18" t="s">
        <v>588</v>
      </c>
      <c r="D300" s="18" t="str">
        <f ca="1">IFERROR(__xludf.DUMMYFUNCTION("GoogleTranslate(A297, ""es"", ""en"")"),"Thick leather")</f>
        <v>Thick leather</v>
      </c>
      <c r="E300" s="18" t="str">
        <f ca="1">IFERROR(__xludf.DUMMYFUNCTION("GoogleTranslate(A297, ""es"", ""fr"")"),"Cuir épais")</f>
        <v>Cuir épais</v>
      </c>
      <c r="F300" s="18" t="str">
        <f ca="1">IFERROR(__xludf.DUMMYFUNCTION("GoogleTranslate(A297, ""es"", ""de"")"),"Dickes Leder")</f>
        <v>Dickes Leder</v>
      </c>
      <c r="G300" s="1"/>
    </row>
    <row r="301" spans="1:7" ht="51" x14ac:dyDescent="0.2">
      <c r="A301" s="18" t="s">
        <v>589</v>
      </c>
      <c r="B301" s="18"/>
      <c r="C301" s="18" t="s">
        <v>590</v>
      </c>
      <c r="D301" s="18" t="str">
        <f ca="1">IFERROR(__xludf.DUMMYFUNCTION("GoogleTranslate(A298, ""es"", ""en"")"),"coarse grain leather")</f>
        <v>coarse grain leather</v>
      </c>
      <c r="E301" s="18" t="str">
        <f ca="1">IFERROR(__xludf.DUMMYFUNCTION("GoogleTranslate(A298, ""es"", ""fr"")"),"cuir à grosses grains")</f>
        <v>cuir à grosses grains</v>
      </c>
      <c r="F301" s="18" t="str">
        <f ca="1">IFERROR(__xludf.DUMMYFUNCTION("GoogleTranslate(A298, ""es"", ""de"")"),"grobnarbiges Leder")</f>
        <v>grobnarbiges Leder</v>
      </c>
      <c r="G301" s="1"/>
    </row>
    <row r="302" spans="1:7" ht="51" x14ac:dyDescent="0.2">
      <c r="A302" s="18" t="s">
        <v>591</v>
      </c>
      <c r="B302" s="18"/>
      <c r="C302" s="18" t="s">
        <v>592</v>
      </c>
      <c r="D302" s="18" t="str">
        <f ca="1">IFERROR(__xludf.DUMMYFUNCTION("GoogleTranslate(A299, ""es"", ""en"")"),"furry")</f>
        <v>furry</v>
      </c>
      <c r="E302" s="18" t="str">
        <f ca="1">IFERROR(__xludf.DUMMYFUNCTION("GoogleTranslate(A299, ""es"", ""fr"")"),"velu")</f>
        <v>velu</v>
      </c>
      <c r="F302" s="18" t="str">
        <f ca="1">IFERROR(__xludf.DUMMYFUNCTION("GoogleTranslate(A299, ""es"", ""de"")"),"pelzig")</f>
        <v>pelzig</v>
      </c>
      <c r="G302" s="1"/>
    </row>
    <row r="303" spans="1:7" ht="51" x14ac:dyDescent="0.2">
      <c r="A303" s="18" t="s">
        <v>593</v>
      </c>
      <c r="B303" s="18"/>
      <c r="C303" s="18" t="s">
        <v>594</v>
      </c>
      <c r="D303" s="18" t="str">
        <f ca="1">IFERROR(__xludf.DUMMYFUNCTION("GoogleTranslate(A300, ""es"", ""en"")"),"hot tanning")</f>
        <v>hot tanning</v>
      </c>
      <c r="E303" s="18" t="str">
        <f ca="1">IFERROR(__xludf.DUMMYFUNCTION("GoogleTranslate(A300, ""es"", ""fr"")"),"bronzage à chaud")</f>
        <v>bronzage à chaud</v>
      </c>
      <c r="F303" s="18" t="str">
        <f ca="1">IFERROR(__xludf.DUMMYFUNCTION("GoogleTranslate(A300, ""es"", ""de"")"),"heißes Bräunen")</f>
        <v>heißes Bräunen</v>
      </c>
      <c r="G303" s="1"/>
    </row>
    <row r="304" spans="1:7" ht="51" x14ac:dyDescent="0.2">
      <c r="A304" s="18" t="s">
        <v>595</v>
      </c>
      <c r="B304" s="18"/>
      <c r="C304" s="18" t="s">
        <v>596</v>
      </c>
      <c r="D304" s="18" t="str">
        <f ca="1">IFERROR(__xludf.DUMMYFUNCTION("GoogleTranslate(A301, ""es"", ""en"")"),"hand grained leather")</f>
        <v>hand grained leather</v>
      </c>
      <c r="E304" s="18" t="str">
        <f ca="1">IFERROR(__xludf.DUMMYFUNCTION("GoogleTranslate(A301, ""es"", ""fr"")"),"cuir grainé à la main")</f>
        <v>cuir grainé à la main</v>
      </c>
      <c r="F304" s="18" t="str">
        <f ca="1">IFERROR(__xludf.DUMMYFUNCTION("GoogleTranslate(A301, ""es"", ""de"")"),"handgenarbtes Leder")</f>
        <v>handgenarbtes Leder</v>
      </c>
      <c r="G304" s="1"/>
    </row>
    <row r="305" spans="1:7" ht="51" x14ac:dyDescent="0.2">
      <c r="A305" s="18" t="s">
        <v>597</v>
      </c>
      <c r="B305" s="18"/>
      <c r="C305" s="18" t="s">
        <v>598</v>
      </c>
      <c r="D305" s="18" t="str">
        <f ca="1">IFERROR(__xludf.DUMMYFUNCTION("GoogleTranslate(A302, ""es"", ""en"")"),"herringbone skin")</f>
        <v>herringbone skin</v>
      </c>
      <c r="E305" s="18" t="str">
        <f ca="1">IFERROR(__xludf.DUMMYFUNCTION("GoogleTranslate(A302, ""es"", ""fr"")"),"peau à chevrons")</f>
        <v>peau à chevrons</v>
      </c>
      <c r="F305" s="18" t="str">
        <f ca="1">IFERROR(__xludf.DUMMYFUNCTION("GoogleTranslate(A302, ""es"", ""de"")"),"Fischgrätenhaut")</f>
        <v>Fischgrätenhaut</v>
      </c>
      <c r="G305" s="1"/>
    </row>
    <row r="306" spans="1:7" ht="38.25" x14ac:dyDescent="0.2">
      <c r="A306" s="18" t="s">
        <v>599</v>
      </c>
      <c r="B306" s="18"/>
      <c r="C306" s="18" t="s">
        <v>600</v>
      </c>
      <c r="D306" s="18" t="str">
        <f ca="1">IFERROR(__xludf.DUMMYFUNCTION("GoogleTranslate(A303, ""es"", ""en"")"),"head leather")</f>
        <v>head leather</v>
      </c>
      <c r="E306" s="18" t="str">
        <f ca="1">IFERROR(__xludf.DUMMYFUNCTION("GoogleTranslate(A303, ""es"", ""fr"")"),"cuir de tête")</f>
        <v>cuir de tête</v>
      </c>
      <c r="F306" s="18" t="str">
        <f ca="1">IFERROR(__xludf.DUMMYFUNCTION("GoogleTranslate(A303, ""es"", ""de"")"),"Kopfleder")</f>
        <v>Kopfleder</v>
      </c>
      <c r="G306" s="1"/>
    </row>
    <row r="307" spans="1:7" ht="51" x14ac:dyDescent="0.2">
      <c r="A307" s="18" t="s">
        <v>601</v>
      </c>
      <c r="B307" s="18"/>
      <c r="C307" s="18" t="s">
        <v>602</v>
      </c>
      <c r="D307" s="18" t="str">
        <f ca="1">IFERROR(__xludf.DUMMYFUNCTION("GoogleTranslate(A304, ""es"", ""en"")"),"hydrator")</f>
        <v>hydrator</v>
      </c>
      <c r="E307" s="18" t="str">
        <f ca="1">IFERROR(__xludf.DUMMYFUNCTION("GoogleTranslate(A304, ""es"", ""fr"")"),"hydratant")</f>
        <v>hydratant</v>
      </c>
      <c r="F307" s="18" t="str">
        <f ca="1">IFERROR(__xludf.DUMMYFUNCTION("GoogleTranslate(A304, ""es"", ""de"")"),"Hydrator")</f>
        <v>Hydrator</v>
      </c>
      <c r="G307" s="1"/>
    </row>
    <row r="308" spans="1:7" ht="51" x14ac:dyDescent="0.2">
      <c r="A308" s="18" t="s">
        <v>603</v>
      </c>
      <c r="B308" s="18"/>
      <c r="C308" s="18" t="s">
        <v>604</v>
      </c>
      <c r="D308" s="18" t="str">
        <f ca="1">IFERROR(__xludf.DUMMYFUNCTION("GoogleTranslate(A305, ""es"", ""en"")"),"Horween leather")</f>
        <v>Horween leather</v>
      </c>
      <c r="E308" s="18" t="str">
        <f ca="1">IFERROR(__xludf.DUMMYFUNCTION("GoogleTranslate(A305, ""es"", ""fr"")"),"Cuir Horween")</f>
        <v>Cuir Horween</v>
      </c>
      <c r="F308" s="18" t="str">
        <f ca="1">IFERROR(__xludf.DUMMYFUNCTION("GoogleTranslate(A305, ""es"", ""de"")"),"Horween-Leder")</f>
        <v>Horween-Leder</v>
      </c>
      <c r="G308" s="1"/>
    </row>
    <row r="309" spans="1:7" ht="63.75" x14ac:dyDescent="0.2">
      <c r="A309" s="18" t="s">
        <v>605</v>
      </c>
      <c r="B309" s="18"/>
      <c r="C309" s="18" t="s">
        <v>606</v>
      </c>
      <c r="D309" s="18" t="str">
        <f ca="1">IFERROR(__xludf.DUMMYFUNCTION("GoogleTranslate(A306, ""es"", ""en"")"),"hem")</f>
        <v>hem</v>
      </c>
      <c r="E309" s="18" t="str">
        <f ca="1">IFERROR(__xludf.DUMMYFUNCTION("GoogleTranslate(A306, ""es"", ""fr"")"),"ourlet")</f>
        <v>ourlet</v>
      </c>
      <c r="F309" s="18" t="str">
        <f ca="1">IFERROR(__xludf.DUMMYFUNCTION("GoogleTranslate(A306, ""es"", ""de"")"),"Saum")</f>
        <v>Saum</v>
      </c>
      <c r="G309" s="1"/>
    </row>
    <row r="310" spans="1:7" ht="51" x14ac:dyDescent="0.2">
      <c r="A310" s="18" t="s">
        <v>607</v>
      </c>
      <c r="B310" s="18"/>
      <c r="C310" s="18" t="s">
        <v>608</v>
      </c>
      <c r="D310" s="18" t="str">
        <f ca="1">IFERROR(__xludf.DUMMYFUNCTION("GoogleTranslate(A307, ""es"", ""en"")"),"gusset")</f>
        <v>gusset</v>
      </c>
      <c r="E310" s="18" t="str">
        <f ca="1">IFERROR(__xludf.DUMMYFUNCTION("GoogleTranslate(A307, ""es"", ""fr"")"),"soufflet")</f>
        <v>soufflet</v>
      </c>
      <c r="F310" s="18" t="str">
        <f ca="1">IFERROR(__xludf.DUMMYFUNCTION("GoogleTranslate(A307, ""es"", ""de"")"),"Zwickel")</f>
        <v>Zwickel</v>
      </c>
      <c r="G310" s="1"/>
    </row>
    <row r="311" spans="1:7" ht="38.25" x14ac:dyDescent="0.2">
      <c r="A311" s="18" t="s">
        <v>609</v>
      </c>
      <c r="B311" s="18"/>
      <c r="C311" s="18" t="s">
        <v>610</v>
      </c>
      <c r="D311" s="18" t="str">
        <f ca="1">IFERROR(__xludf.DUMMYFUNCTION("GoogleTranslate(A308, ""es"", ""en"")"),"gouge")</f>
        <v>gouge</v>
      </c>
      <c r="E311" s="18" t="str">
        <f ca="1">IFERROR(__xludf.DUMMYFUNCTION("GoogleTranslate(A308, ""es"", ""fr"")"),"escroquer")</f>
        <v>escroquer</v>
      </c>
      <c r="F311" s="18" t="str">
        <f ca="1">IFERROR(__xludf.DUMMYFUNCTION("GoogleTranslate(A308, ""es"", ""de"")"),"ausstechen")</f>
        <v>ausstechen</v>
      </c>
      <c r="G311" s="1"/>
    </row>
    <row r="312" spans="1:7" ht="51" x14ac:dyDescent="0.2">
      <c r="A312" s="18" t="s">
        <v>611</v>
      </c>
      <c r="B312" s="18"/>
      <c r="C312" s="18" t="s">
        <v>612</v>
      </c>
      <c r="D312" s="18" t="str">
        <f ca="1">IFERROR(__xludf.DUMMYFUNCTION("GoogleTranslate(A309, ""es"", ""en"")"),"buttonhole")</f>
        <v>buttonhole</v>
      </c>
      <c r="E312" s="18" t="str">
        <f ca="1">IFERROR(__xludf.DUMMYFUNCTION("GoogleTranslate(A309, ""es"", ""fr"")"),"boutonnière")</f>
        <v>boutonnière</v>
      </c>
      <c r="F312" s="18" t="str">
        <f ca="1">IFERROR(__xludf.DUMMYFUNCTION("GoogleTranslate(A309, ""es"", ""de"")"),"Knopfloch")</f>
        <v>Knopfloch</v>
      </c>
      <c r="G312" s="1"/>
    </row>
    <row r="313" spans="1:7" ht="51" x14ac:dyDescent="0.2">
      <c r="A313" s="18" t="s">
        <v>613</v>
      </c>
      <c r="B313" s="18"/>
      <c r="C313" s="18" t="s">
        <v>614</v>
      </c>
      <c r="D313" s="18" t="str">
        <f ca="1">IFERROR(__xludf.DUMMYFUNCTION("GoogleTranslate(A310, ""es"", ""en"")"),"grain")</f>
        <v>grain</v>
      </c>
      <c r="E313" s="18" t="str">
        <f ca="1">IFERROR(__xludf.DUMMYFUNCTION("GoogleTranslate(A310, ""es"", ""fr"")"),"grain")</f>
        <v>grain</v>
      </c>
      <c r="F313" s="18" t="str">
        <f ca="1">IFERROR(__xludf.DUMMYFUNCTION("GoogleTranslate(A310, ""es"", ""de"")"),"Getreide")</f>
        <v>Getreide</v>
      </c>
      <c r="G313" s="1"/>
    </row>
    <row r="314" spans="1:7" ht="63.75" x14ac:dyDescent="0.2">
      <c r="A314" s="18" t="s">
        <v>615</v>
      </c>
      <c r="B314" s="18"/>
      <c r="C314" s="18" t="s">
        <v>616</v>
      </c>
      <c r="D314" s="18" t="str">
        <f ca="1">IFERROR(__xludf.DUMMYFUNCTION("GoogleTranslate(A311, ""es"", ""en"")"),"fish eye")</f>
        <v>fish eye</v>
      </c>
      <c r="E314" s="18" t="str">
        <f ca="1">IFERROR(__xludf.DUMMYFUNCTION("GoogleTranslate(A311, ""es"", ""fr"")"),"œil de poisson")</f>
        <v>œil de poisson</v>
      </c>
      <c r="F314" s="18" t="str">
        <f ca="1">IFERROR(__xludf.DUMMYFUNCTION("GoogleTranslate(A311, ""es"", ""de"")"),"Fischauge")</f>
        <v>Fischauge</v>
      </c>
      <c r="G314" s="1"/>
    </row>
    <row r="315" spans="1:7" ht="51" x14ac:dyDescent="0.2">
      <c r="A315" s="18" t="s">
        <v>617</v>
      </c>
      <c r="B315" s="18"/>
      <c r="C315" s="18" t="s">
        <v>618</v>
      </c>
      <c r="D315" s="18" t="str">
        <f ca="1">IFERROR(__xludf.DUMMYFUNCTION("GoogleTranslate(A312, ""es"", ""en"")"),"draft")</f>
        <v>draft</v>
      </c>
      <c r="E315" s="18" t="str">
        <f ca="1">IFERROR(__xludf.DUMMYFUNCTION("GoogleTranslate(A312, ""es"", ""fr"")"),"brouillon")</f>
        <v>brouillon</v>
      </c>
      <c r="F315" s="18" t="str">
        <f ca="1">IFERROR(__xludf.DUMMYFUNCTION("GoogleTranslate(A312, ""es"", ""de"")"),"Entwurf")</f>
        <v>Entwurf</v>
      </c>
      <c r="G315" s="1"/>
    </row>
    <row r="316" spans="1:7" ht="51" x14ac:dyDescent="0.2">
      <c r="A316" s="18" t="s">
        <v>619</v>
      </c>
      <c r="B316" s="18"/>
      <c r="C316" s="18" t="s">
        <v>620</v>
      </c>
      <c r="D316" s="18" t="str">
        <f ca="1">IFERROR(__xludf.DUMMYFUNCTION("GoogleTranslate(A313, ""es"", ""en"")"),"flap")</f>
        <v>flap</v>
      </c>
      <c r="E316" s="18" t="str">
        <f ca="1">IFERROR(__xludf.DUMMYFUNCTION("GoogleTranslate(A313, ""es"", ""fr"")"),"rabat")</f>
        <v>rabat</v>
      </c>
      <c r="F316" s="18" t="str">
        <f ca="1">IFERROR(__xludf.DUMMYFUNCTION("GoogleTranslate(A313, ""es"", ""de"")"),"Klappe")</f>
        <v>Klappe</v>
      </c>
      <c r="G316" s="1"/>
    </row>
    <row r="317" spans="1:7" ht="38.25" x14ac:dyDescent="0.2">
      <c r="A317" s="18" t="s">
        <v>621</v>
      </c>
      <c r="B317" s="18"/>
      <c r="C317" s="18" t="s">
        <v>622</v>
      </c>
      <c r="D317" s="18" t="str">
        <f ca="1">IFERROR(__xludf.DUMMYFUNCTION("GoogleTranslate(A314, ""es"", ""en"")"),"leather steak")</f>
        <v>leather steak</v>
      </c>
      <c r="E317" s="18" t="str">
        <f ca="1">IFERROR(__xludf.DUMMYFUNCTION("GoogleTranslate(A314, ""es"", ""fr"")"),"bifteck de cuir")</f>
        <v>bifteck de cuir</v>
      </c>
      <c r="F317" s="18" t="str">
        <f ca="1">IFERROR(__xludf.DUMMYFUNCTION("GoogleTranslate(A314, ""es"", ""de"")"),"Ledersteak")</f>
        <v>Ledersteak</v>
      </c>
      <c r="G317" s="1"/>
    </row>
    <row r="318" spans="1:7" ht="51" x14ac:dyDescent="0.2">
      <c r="A318" s="18" t="s">
        <v>623</v>
      </c>
      <c r="B318" s="18"/>
      <c r="C318" s="18" t="s">
        <v>624</v>
      </c>
      <c r="D318" s="18" t="str">
        <f ca="1">IFERROR(__xludf.DUMMYFUNCTION("GoogleTranslate(A315, ""es"", ""en"")"),"branded with fire")</f>
        <v>branded with fire</v>
      </c>
      <c r="E318" s="18" t="str">
        <f ca="1">IFERROR(__xludf.DUMMYFUNCTION("GoogleTranslate(A315, ""es"", ""fr"")"),"marqué par le feu")</f>
        <v>marqué par le feu</v>
      </c>
      <c r="F318" s="18" t="str">
        <f ca="1">IFERROR(__xludf.DUMMYFUNCTION("GoogleTranslate(A315, ""es"", ""de"")"),"mit Feuer gebrandmarkt")</f>
        <v>mit Feuer gebrandmarkt</v>
      </c>
      <c r="G318" s="1"/>
    </row>
    <row r="319" spans="1:7" ht="51" x14ac:dyDescent="0.2">
      <c r="A319" s="18" t="s">
        <v>625</v>
      </c>
      <c r="B319" s="18"/>
      <c r="C319" s="18" t="s">
        <v>626</v>
      </c>
      <c r="D319" s="18" t="str">
        <f ca="1">IFERROR(__xludf.DUMMYFUNCTION("GoogleTranslate(A316, ""es"", ""en"")"),"flocking")</f>
        <v>flocking</v>
      </c>
      <c r="E319" s="18" t="str">
        <f ca="1">IFERROR(__xludf.DUMMYFUNCTION("GoogleTranslate(A316, ""es"", ""fr"")"),"flocage")</f>
        <v>flocage</v>
      </c>
      <c r="F319" s="18" t="str">
        <f ca="1">IFERROR(__xludf.DUMMYFUNCTION("GoogleTranslate(A316, ""es"", ""de"")"),"Beflockung")</f>
        <v>Beflockung</v>
      </c>
      <c r="G319" s="1"/>
    </row>
    <row r="320" spans="1:7" ht="63.75" x14ac:dyDescent="0.2">
      <c r="A320" s="18" t="s">
        <v>627</v>
      </c>
      <c r="B320" s="18"/>
      <c r="C320" s="18" t="s">
        <v>628</v>
      </c>
      <c r="D320" s="18" t="str">
        <f ca="1">IFERROR(__xludf.DUMMYFUNCTION("GoogleTranslate(A317, ""es"", ""en"")"),"excess meat")</f>
        <v>excess meat</v>
      </c>
      <c r="E320" s="18" t="str">
        <f ca="1">IFERROR(__xludf.DUMMYFUNCTION("GoogleTranslate(A317, ""es"", ""fr"")"),"excès de viande")</f>
        <v>excès de viande</v>
      </c>
      <c r="F320" s="18" t="str">
        <f ca="1">IFERROR(__xludf.DUMMYFUNCTION("GoogleTranslate(A317, ""es"", ""de"")"),"überschüssiges Fleisch")</f>
        <v>überschüssiges Fleisch</v>
      </c>
      <c r="G320" s="1"/>
    </row>
    <row r="321" spans="1:7" ht="51" x14ac:dyDescent="0.2">
      <c r="A321" s="18" t="s">
        <v>629</v>
      </c>
      <c r="B321" s="18"/>
      <c r="C321" s="18" t="s">
        <v>630</v>
      </c>
      <c r="D321" s="18" t="str">
        <f ca="1">IFERROR(__xludf.DUMMYFUNCTION("GoogleTranslate(A318, ""es"", ""en"")"),"end use")</f>
        <v>end use</v>
      </c>
      <c r="E321" s="18" t="str">
        <f ca="1">IFERROR(__xludf.DUMMYFUNCTION("GoogleTranslate(A318, ""es"", ""fr"")"),"utilisation finale")</f>
        <v>utilisation finale</v>
      </c>
      <c r="F321" s="18" t="str">
        <f ca="1">IFERROR(__xludf.DUMMYFUNCTION("GoogleTranslate(A318, ""es"", ""de"")"),"Endverwendung")</f>
        <v>Endverwendung</v>
      </c>
      <c r="G321" s="1"/>
    </row>
    <row r="322" spans="1:7" ht="51" x14ac:dyDescent="0.2">
      <c r="A322" s="18" t="s">
        <v>631</v>
      </c>
      <c r="B322" s="18"/>
      <c r="C322" s="18" t="s">
        <v>632</v>
      </c>
      <c r="D322" s="18" t="str">
        <f ca="1">IFERROR(__xludf.DUMMYFUNCTION("GoogleTranslate(A319, ""es"", ""en"")"),"edge creaser")</f>
        <v>edge creaser</v>
      </c>
      <c r="E322" s="18" t="str">
        <f ca="1">IFERROR(__xludf.DUMMYFUNCTION("GoogleTranslate(A319, ""es"", ""fr"")"),"raineur de bord")</f>
        <v>raineur de bord</v>
      </c>
      <c r="F322" s="18" t="str">
        <f ca="1">IFERROR(__xludf.DUMMYFUNCTION("GoogleTranslate(A319, ""es"", ""de"")"),"Kantenglätter")</f>
        <v>Kantenglätter</v>
      </c>
      <c r="G322" s="1"/>
    </row>
    <row r="323" spans="1:7" ht="51" x14ac:dyDescent="0.2">
      <c r="A323" s="18" t="s">
        <v>633</v>
      </c>
      <c r="B323" s="18"/>
      <c r="C323" s="18" t="s">
        <v>634</v>
      </c>
      <c r="D323" s="18" t="str">
        <f ca="1">IFERROR(__xludf.DUMMYFUNCTION("GoogleTranslate(A320, ""es"", ""en"")"),"embroidery")</f>
        <v>embroidery</v>
      </c>
      <c r="E323" s="18" t="str">
        <f ca="1">IFERROR(__xludf.DUMMYFUNCTION("GoogleTranslate(A320, ""es"", ""fr"")"),"broderie")</f>
        <v>broderie</v>
      </c>
      <c r="F323" s="18" t="str">
        <f ca="1">IFERROR(__xludf.DUMMYFUNCTION("GoogleTranslate(A320, ""es"", ""de"")"),"Stickerei")</f>
        <v>Stickerei</v>
      </c>
      <c r="G323" s="1"/>
    </row>
    <row r="324" spans="1:7" ht="51" x14ac:dyDescent="0.2">
      <c r="A324" s="18" t="s">
        <v>635</v>
      </c>
      <c r="B324" s="18"/>
      <c r="C324" s="18" t="s">
        <v>636</v>
      </c>
      <c r="D324" s="18" t="str">
        <f ca="1">IFERROR(__xludf.DUMMYFUNCTION("GoogleTranslate(A321, ""es"", ""en"")"),"embossed")</f>
        <v>embossed</v>
      </c>
      <c r="E324" s="18" t="str">
        <f ca="1">IFERROR(__xludf.DUMMYFUNCTION("GoogleTranslate(A321, ""es"", ""fr"")"),"en relief")</f>
        <v>en relief</v>
      </c>
      <c r="F324" s="18" t="str">
        <f ca="1">IFERROR(__xludf.DUMMYFUNCTION("GoogleTranslate(A321, ""es"", ""de"")"),"geprägt")</f>
        <v>geprägt</v>
      </c>
      <c r="G324" s="1"/>
    </row>
    <row r="325" spans="1:7" ht="51" x14ac:dyDescent="0.2">
      <c r="A325" s="18" t="s">
        <v>637</v>
      </c>
      <c r="B325" s="18"/>
      <c r="C325" s="18" t="s">
        <v>638</v>
      </c>
      <c r="D325" s="18" t="str">
        <f ca="1">IFERROR(__xludf.DUMMYFUNCTION("GoogleTranslate(A322, ""es"", ""en"")"),"drum sanding")</f>
        <v>drum sanding</v>
      </c>
      <c r="E325" s="18" t="str">
        <f ca="1">IFERROR(__xludf.DUMMYFUNCTION("GoogleTranslate(A322, ""es"", ""fr"")"),"ponçage au tambour")</f>
        <v>ponçage au tambour</v>
      </c>
      <c r="F325" s="18" t="str">
        <f ca="1">IFERROR(__xludf.DUMMYFUNCTION("GoogleTranslate(A322, ""es"", ""de"")"),"Trommelschleifen")</f>
        <v>Trommelschleifen</v>
      </c>
      <c r="G325" s="1"/>
    </row>
    <row r="326" spans="1:7" ht="51" x14ac:dyDescent="0.2">
      <c r="A326" s="18" t="s">
        <v>639</v>
      </c>
      <c r="B326" s="18"/>
      <c r="C326" s="18" t="s">
        <v>640</v>
      </c>
      <c r="D326" s="18" t="str">
        <f ca="1">IFERROR(__xludf.DUMMYFUNCTION("GoogleTranslate(A323, ""es"", ""en"")"),"immersion")</f>
        <v>immersion</v>
      </c>
      <c r="E326" s="18" t="str">
        <f ca="1">IFERROR(__xludf.DUMMYFUNCTION("GoogleTranslate(A323, ""es"", ""fr"")"),"immersion")</f>
        <v>immersion</v>
      </c>
      <c r="F326" s="18" t="str">
        <f ca="1">IFERROR(__xludf.DUMMYFUNCTION("GoogleTranslate(A323, ""es"", ""de"")"),"Eintauchen")</f>
        <v>Eintauchen</v>
      </c>
      <c r="G326" s="1"/>
    </row>
    <row r="327" spans="1:7" ht="51" x14ac:dyDescent="0.2">
      <c r="A327" s="18" t="s">
        <v>641</v>
      </c>
      <c r="B327" s="18"/>
      <c r="C327" s="18" t="s">
        <v>642</v>
      </c>
      <c r="D327" s="18" t="str">
        <f ca="1">IFERROR(__xludf.DUMMYFUNCTION("GoogleTranslate(A324, ""es"", ""en"")"),"drum")</f>
        <v>drum</v>
      </c>
      <c r="E327" s="18" t="str">
        <f ca="1">IFERROR(__xludf.DUMMYFUNCTION("GoogleTranslate(A324, ""es"", ""fr"")"),"tambour")</f>
        <v>tambour</v>
      </c>
      <c r="F327" s="18" t="str">
        <f ca="1">IFERROR(__xludf.DUMMYFUNCTION("GoogleTranslate(A324, ""es"", ""de"")"),"Trommel")</f>
        <v>Trommel</v>
      </c>
      <c r="G327" s="1"/>
    </row>
    <row r="328" spans="1:7" ht="51" x14ac:dyDescent="0.2">
      <c r="A328" s="18" t="s">
        <v>643</v>
      </c>
      <c r="B328" s="18"/>
      <c r="C328" s="18" t="s">
        <v>644</v>
      </c>
      <c r="D328" s="18" t="str">
        <f ca="1">IFERROR(__xludf.DUMMYFUNCTION("GoogleTranslate(A325, ""es"", ""en"")"),"draw")</f>
        <v>draw</v>
      </c>
      <c r="E328" s="18" t="str">
        <f ca="1">IFERROR(__xludf.DUMMYFUNCTION("GoogleTranslate(A325, ""es"", ""fr"")"),"dessiner")</f>
        <v>dessiner</v>
      </c>
      <c r="F328" s="18" t="str">
        <f ca="1">IFERROR(__xludf.DUMMYFUNCTION("GoogleTranslate(A325, ""es"", ""de"")"),"ziehen")</f>
        <v>ziehen</v>
      </c>
      <c r="G328" s="1"/>
    </row>
    <row r="329" spans="1:7" ht="38.25" x14ac:dyDescent="0.2">
      <c r="A329" s="18" t="s">
        <v>645</v>
      </c>
      <c r="B329" s="18"/>
      <c r="C329" s="18" t="s">
        <v>646</v>
      </c>
      <c r="D329" s="18" t="str">
        <f ca="1">IFERROR(__xludf.DUMMYFUNCTION("GoogleTranslate(A326, ""es"", ""en"")"),"double butted")</f>
        <v>double butted</v>
      </c>
      <c r="E329" s="18" t="str">
        <f ca="1">IFERROR(__xludf.DUMMYFUNCTION("GoogleTranslate(A326, ""es"", ""fr"")"),"double butée")</f>
        <v>double butée</v>
      </c>
      <c r="F329" s="18" t="str">
        <f ca="1">IFERROR(__xludf.DUMMYFUNCTION("GoogleTranslate(A326, ""es"", ""de"")"),"doppelt konifiziert")</f>
        <v>doppelt konifiziert</v>
      </c>
      <c r="G329" s="1"/>
    </row>
    <row r="330" spans="1:7" ht="51" x14ac:dyDescent="0.2">
      <c r="A330" s="18" t="s">
        <v>647</v>
      </c>
      <c r="B330" s="18"/>
      <c r="C330" s="18" t="s">
        <v>648</v>
      </c>
      <c r="D330" s="18" t="str">
        <f ca="1">IFERROR(__xludf.DUMMYFUNCTION("GoogleTranslate(A327, ""es"", ""en"")"),"deer (skin)")</f>
        <v>deer (skin)</v>
      </c>
      <c r="E330" s="18" t="str">
        <f ca="1">IFERROR(__xludf.DUMMYFUNCTION("GoogleTranslate(A327, ""es"", ""fr"")"),"peau de cerf)")</f>
        <v>peau de cerf)</v>
      </c>
      <c r="F330" s="18" t="str">
        <f ca="1">IFERROR(__xludf.DUMMYFUNCTION("GoogleTranslate(A327, ""es"", ""de"")"),"Hirsch (Haut)")</f>
        <v>Hirsch (Haut)</v>
      </c>
      <c r="G330" s="1"/>
    </row>
    <row r="331" spans="1:7" ht="51" x14ac:dyDescent="0.2">
      <c r="A331" s="18" t="s">
        <v>649</v>
      </c>
      <c r="B331" s="18"/>
      <c r="C331" s="18" t="s">
        <v>650</v>
      </c>
      <c r="D331" s="18" t="str">
        <f ca="1">IFERROR(__xludf.DUMMYFUNCTION("GoogleTranslate(A328, ""es"", ""en"")"),"dressing")</f>
        <v>dressing</v>
      </c>
      <c r="E331" s="18" t="str">
        <f ca="1">IFERROR(__xludf.DUMMYFUNCTION("GoogleTranslate(A328, ""es"", ""fr"")"),"pansement")</f>
        <v>pansement</v>
      </c>
      <c r="F331" s="18" t="str">
        <f ca="1">IFERROR(__xludf.DUMMYFUNCTION("GoogleTranslate(A328, ""es"", ""de"")"),"Dressing")</f>
        <v>Dressing</v>
      </c>
      <c r="G331" s="1"/>
    </row>
    <row r="332" spans="1:7" ht="63.75" x14ac:dyDescent="0.2">
      <c r="A332" s="18" t="s">
        <v>651</v>
      </c>
      <c r="B332" s="18"/>
      <c r="C332" s="18" t="s">
        <v>652</v>
      </c>
      <c r="D332" s="18" t="str">
        <f ca="1">IFERROR(__xludf.DUMMYFUNCTION("GoogleTranslate(A329, ""es"", ""en"")"),"cured")</f>
        <v>cured</v>
      </c>
      <c r="E332" s="18" t="str">
        <f ca="1">IFERROR(__xludf.DUMMYFUNCTION("GoogleTranslate(A329, ""es"", ""fr"")"),"guéri")</f>
        <v>guéri</v>
      </c>
      <c r="F332" s="18" t="str">
        <f ca="1">IFERROR(__xludf.DUMMYFUNCTION("GoogleTranslate(A329, ""es"", ""de"")"),"geheilt")</f>
        <v>geheilt</v>
      </c>
      <c r="G332" s="1"/>
    </row>
    <row r="333" spans="1:7" ht="38.25" x14ac:dyDescent="0.2">
      <c r="A333" s="18" t="s">
        <v>653</v>
      </c>
      <c r="B333" s="18"/>
      <c r="C333" s="18" t="s">
        <v>654</v>
      </c>
      <c r="D333" s="18" t="str">
        <f ca="1">IFERROR(__xludf.DUMMYFUNCTION("GoogleTranslate(A330, ""es"", ""en"")"),"crust leather")</f>
        <v>crust leather</v>
      </c>
      <c r="E333" s="18" t="str">
        <f ca="1">IFERROR(__xludf.DUMMYFUNCTION("GoogleTranslate(A330, ""es"", ""fr"")"),"croûte de cuir")</f>
        <v>croûte de cuir</v>
      </c>
      <c r="F333" s="18" t="str">
        <f ca="1">IFERROR(__xludf.DUMMYFUNCTION("GoogleTranslate(A330, ""es"", ""de"")"),"Krustenleder")</f>
        <v>Krustenleder</v>
      </c>
      <c r="G333" s="1"/>
    </row>
    <row r="334" spans="1:7" ht="51" x14ac:dyDescent="0.2">
      <c r="A334" s="18" t="s">
        <v>655</v>
      </c>
      <c r="B334" s="18"/>
      <c r="C334" s="18" t="s">
        <v>656</v>
      </c>
      <c r="D334" s="18" t="str">
        <f ca="1">IFERROR(__xludf.DUMMYFUNCTION("GoogleTranslate(A331, ""es"", ""en"")"),"Cordwain")</f>
        <v>Cordwain</v>
      </c>
      <c r="E334" s="18" t="str">
        <f ca="1">IFERROR(__xludf.DUMMYFUNCTION("GoogleTranslate(A331, ""es"", ""fr"")"),"Cordonnier")</f>
        <v>Cordonnier</v>
      </c>
      <c r="F334" s="18" t="str">
        <f ca="1">IFERROR(__xludf.DUMMYFUNCTION("GoogleTranslate(A331, ""es"", ""de"")"),"Cordwain")</f>
        <v>Cordwain</v>
      </c>
      <c r="G334" s="1"/>
    </row>
    <row r="335" spans="1:7" ht="51" x14ac:dyDescent="0.2">
      <c r="A335" s="18" t="s">
        <v>657</v>
      </c>
      <c r="B335" s="18"/>
      <c r="C335" s="18" t="s">
        <v>658</v>
      </c>
      <c r="D335" s="18" t="str">
        <f ca="1">IFERROR(__xludf.DUMMYFUNCTION("GoogleTranslate(A332, ""es"", ""en"")"),"carving")</f>
        <v>carving</v>
      </c>
      <c r="E335" s="18" t="str">
        <f ca="1">IFERROR(__xludf.DUMMYFUNCTION("GoogleTranslate(A332, ""es"", ""fr"")"),"sculpture")</f>
        <v>sculpture</v>
      </c>
      <c r="F335" s="18" t="str">
        <f ca="1">IFERROR(__xludf.DUMMYFUNCTION("GoogleTranslate(A332, ""es"", ""de"")"),"Carving")</f>
        <v>Carving</v>
      </c>
      <c r="G335" s="1"/>
    </row>
    <row r="336" spans="1:7" ht="51" x14ac:dyDescent="0.2">
      <c r="A336" s="18" t="s">
        <v>659</v>
      </c>
      <c r="B336" s="18"/>
      <c r="C336" s="18" t="s">
        <v>660</v>
      </c>
      <c r="D336" s="18" t="str">
        <f ca="1">IFERROR(__xludf.DUMMYFUNCTION("GoogleTranslate(A333, ""es"", ""en"")"),"cyclodextrin")</f>
        <v>cyclodextrin</v>
      </c>
      <c r="E336" s="18" t="str">
        <f ca="1">IFERROR(__xludf.DUMMYFUNCTION("GoogleTranslate(A333, ""es"", ""fr"")"),"cyclodextrine")</f>
        <v>cyclodextrine</v>
      </c>
      <c r="F336" s="18" t="str">
        <f ca="1">IFERROR(__xludf.DUMMYFUNCTION("GoogleTranslate(A333, ""es"", ""de"")"),"Cyclodextrin")</f>
        <v>Cyclodextrin</v>
      </c>
      <c r="G336" s="1"/>
    </row>
    <row r="337" spans="1:7" ht="51" x14ac:dyDescent="0.2">
      <c r="A337" s="18" t="s">
        <v>661</v>
      </c>
      <c r="B337" s="18"/>
      <c r="C337" s="18" t="s">
        <v>662</v>
      </c>
      <c r="D337" s="18" t="str">
        <f ca="1">IFERROR(__xludf.DUMMYFUNCTION("GoogleTranslate(A334, ""es"", ""en"")"),"leather bouilli")</f>
        <v>leather bouilli</v>
      </c>
      <c r="E337" s="18" t="str">
        <f ca="1">IFERROR(__xludf.DUMMYFUNCTION("GoogleTranslate(A334, ""es"", ""fr"")"),"bouilli en cuir")</f>
        <v>bouilli en cuir</v>
      </c>
      <c r="F337" s="18" t="str">
        <f ca="1">IFERROR(__xludf.DUMMYFUNCTION("GoogleTranslate(A334, ""es"", ""de"")"),"Lederbouilli")</f>
        <v>Lederbouilli</v>
      </c>
      <c r="G337" s="1"/>
    </row>
    <row r="338" spans="1:7" ht="51" x14ac:dyDescent="0.2">
      <c r="A338" s="18" t="s">
        <v>663</v>
      </c>
      <c r="B338" s="18"/>
      <c r="C338" s="18" t="s">
        <v>664</v>
      </c>
      <c r="D338" s="18" t="str">
        <f ca="1">IFERROR(__xludf.DUMMYFUNCTION("GoogleTranslate(A335, ""es"", ""en"")"),"cuticle")</f>
        <v>cuticle</v>
      </c>
      <c r="E338" s="18" t="str">
        <f ca="1">IFERROR(__xludf.DUMMYFUNCTION("GoogleTranslate(A335, ""es"", ""fr"")"),"cuticule")</f>
        <v>cuticule</v>
      </c>
      <c r="F338" s="18" t="str">
        <f ca="1">IFERROR(__xludf.DUMMYFUNCTION("GoogleTranslate(A335, ""es"", ""de"")"),"Kutikula")</f>
        <v>Kutikula</v>
      </c>
      <c r="G338" s="1"/>
    </row>
    <row r="339" spans="1:7" ht="51" x14ac:dyDescent="0.2">
      <c r="A339" s="18" t="s">
        <v>665</v>
      </c>
      <c r="B339" s="18"/>
      <c r="C339" s="18" t="s">
        <v>666</v>
      </c>
      <c r="D339" s="18" t="str">
        <f ca="1">IFERROR(__xludf.DUMMYFUNCTION("GoogleTranslate(A336, ""es"", ""en"")"),"crocking")</f>
        <v>crocking</v>
      </c>
      <c r="E339" s="18" t="str">
        <f ca="1">IFERROR(__xludf.DUMMYFUNCTION("GoogleTranslate(A336, ""es"", ""fr"")"),"croquer")</f>
        <v>croquer</v>
      </c>
      <c r="F339" s="18" t="str">
        <f ca="1">IFERROR(__xludf.DUMMYFUNCTION("GoogleTranslate(A336, ""es"", ""de"")"),"crocking")</f>
        <v>crocking</v>
      </c>
      <c r="G339" s="1"/>
    </row>
    <row r="340" spans="1:7" ht="51" x14ac:dyDescent="0.2">
      <c r="A340" s="18" t="s">
        <v>667</v>
      </c>
      <c r="B340" s="18"/>
      <c r="C340" s="18" t="s">
        <v>668</v>
      </c>
      <c r="D340" s="18" t="str">
        <f ca="1">IFERROR(__xludf.DUMMYFUNCTION("GoogleTranslate(A337, ""es"", ""en"")"),"binder")</f>
        <v>binder</v>
      </c>
      <c r="E340" s="18" t="str">
        <f ca="1">IFERROR(__xludf.DUMMYFUNCTION("GoogleTranslate(A337, ""es"", ""fr"")"),"classeur")</f>
        <v>classeur</v>
      </c>
      <c r="F340" s="18" t="str">
        <f ca="1">IFERROR(__xludf.DUMMYFUNCTION("GoogleTranslate(A337, ""es"", ""de"")"),"Bindemittel")</f>
        <v>Bindemittel</v>
      </c>
      <c r="G340" s="1"/>
    </row>
    <row r="341" spans="1:7" ht="38.25" x14ac:dyDescent="0.2">
      <c r="A341" s="18" t="s">
        <v>669</v>
      </c>
      <c r="B341" s="18"/>
      <c r="C341" s="18" t="s">
        <v>670</v>
      </c>
      <c r="D341" s="18" t="str">
        <f ca="1">IFERROR(__xludf.DUMMYFUNCTION("GoogleTranslate(A338, ""es"", ""en"")"),"coating")</f>
        <v>coating</v>
      </c>
      <c r="E341" s="18" t="str">
        <f ca="1">IFERROR(__xludf.DUMMYFUNCTION("GoogleTranslate(A338, ""es"", ""fr"")"),"enrobage")</f>
        <v>enrobage</v>
      </c>
      <c r="F341" s="18" t="str">
        <f ca="1">IFERROR(__xludf.DUMMYFUNCTION("GoogleTranslate(A338, ""es"", ""de"")"),"Beschichtung")</f>
        <v>Beschichtung</v>
      </c>
      <c r="G341" s="1"/>
    </row>
    <row r="342" spans="1:7" ht="51" x14ac:dyDescent="0.2">
      <c r="A342" s="18" t="s">
        <v>671</v>
      </c>
      <c r="B342" s="18"/>
      <c r="C342" s="18" t="s">
        <v>672</v>
      </c>
      <c r="D342" s="18" t="str">
        <f ca="1">IFERROR(__xludf.DUMMYFUNCTION("GoogleTranslate(A339, ""es"", ""en"")"),"belly (skin)")</f>
        <v>belly (skin)</v>
      </c>
      <c r="E342" s="18" t="str">
        <f ca="1">IFERROR(__xludf.DUMMYFUNCTION("GoogleTranslate(A339, ""es"", ""fr"")"),"ventre (peau)")</f>
        <v>ventre (peau)</v>
      </c>
      <c r="F342" s="18" t="str">
        <f ca="1">IFERROR(__xludf.DUMMYFUNCTION("GoogleTranslate(A339, ""es"", ""de"")"),"Bauch (Haut)")</f>
        <v>Bauch (Haut)</v>
      </c>
      <c r="G342" s="1"/>
    </row>
    <row r="343" spans="1:7" ht="51" x14ac:dyDescent="0.2">
      <c r="A343" s="18" t="s">
        <v>673</v>
      </c>
      <c r="B343" s="18"/>
      <c r="C343" s="18" t="s">
        <v>674</v>
      </c>
      <c r="D343" s="18" t="str">
        <f ca="1">IFERROR(__xludf.DUMMYFUNCTION("GoogleTranslate(A340, ""es"", ""en"")"),"bicast (skin)")</f>
        <v>bicast (skin)</v>
      </c>
      <c r="E343" s="18" t="str">
        <f ca="1">IFERROR(__xludf.DUMMYFUNCTION("GoogleTranslate(A340, ""es"", ""fr"")"),"bicast (peau)")</f>
        <v>bicast (peau)</v>
      </c>
      <c r="F343" s="18" t="str">
        <f ca="1">IFERROR(__xludf.DUMMYFUNCTION("GoogleTranslate(A340, ""es"", ""de"")"),"Bicast (Haut)")</f>
        <v>Bicast (Haut)</v>
      </c>
      <c r="G343" s="1"/>
    </row>
    <row r="344" spans="1:7" ht="51" x14ac:dyDescent="0.2">
      <c r="A344" s="18" t="s">
        <v>675</v>
      </c>
      <c r="B344" s="18"/>
      <c r="C344" s="18" t="s">
        <v>676</v>
      </c>
      <c r="D344" s="18" t="str">
        <f ca="1">IFERROR(__xludf.DUMMYFUNCTION("GoogleTranslate(A341, ""es"", ""en"")"),"burnish")</f>
        <v>burnish</v>
      </c>
      <c r="E344" s="18" t="str">
        <f ca="1">IFERROR(__xludf.DUMMYFUNCTION("GoogleTranslate(A341, ""es"", ""fr"")"),"polir")</f>
        <v>polir</v>
      </c>
      <c r="F344" s="18" t="str">
        <f ca="1">IFERROR(__xludf.DUMMYFUNCTION("GoogleTranslate(A341, ""es"", ""de"")"),"polieren")</f>
        <v>polieren</v>
      </c>
      <c r="G344" s="1"/>
    </row>
    <row r="345" spans="1:7" ht="51" x14ac:dyDescent="0.2">
      <c r="A345" s="18" t="s">
        <v>677</v>
      </c>
      <c r="B345" s="18"/>
      <c r="C345" s="18" t="s">
        <v>678</v>
      </c>
      <c r="D345" s="18" t="str">
        <f ca="1">IFERROR(__xludf.DUMMYFUNCTION("GoogleTranslate(A342, ""es"", ""en"")"),"polished")</f>
        <v>polished</v>
      </c>
      <c r="E345" s="18" t="str">
        <f ca="1">IFERROR(__xludf.DUMMYFUNCTION("GoogleTranslate(A342, ""es"", ""fr"")"),"brillant")</f>
        <v>brillant</v>
      </c>
      <c r="F345" s="18" t="str">
        <f ca="1">IFERROR(__xludf.DUMMYFUNCTION("GoogleTranslate(A342, ""es"", ""de"")"),"poliert")</f>
        <v>poliert</v>
      </c>
      <c r="G345" s="1"/>
    </row>
    <row r="346" spans="1:7" ht="38.25" x14ac:dyDescent="0.2">
      <c r="A346" s="18" t="s">
        <v>679</v>
      </c>
      <c r="B346" s="18"/>
      <c r="C346" s="18" t="s">
        <v>680</v>
      </c>
      <c r="D346" s="18" t="str">
        <f ca="1">IFERROR(__xludf.DUMMYFUNCTION("GoogleTranslate(A343, ""es"", ""en"")"),"astringent")</f>
        <v>astringent</v>
      </c>
      <c r="E346" s="18" t="str">
        <f ca="1">IFERROR(__xludf.DUMMYFUNCTION("GoogleTranslate(A343, ""es"", ""fr"")"),"astringent")</f>
        <v>astringent</v>
      </c>
      <c r="F346" s="18" t="str">
        <f ca="1">IFERROR(__xludf.DUMMYFUNCTION("GoogleTranslate(A343, ""es"", ""de"")"),"adstringierend")</f>
        <v>adstringierend</v>
      </c>
      <c r="G346" s="1"/>
    </row>
    <row r="347" spans="1:7" ht="51" x14ac:dyDescent="0.2">
      <c r="A347" s="18" t="s">
        <v>681</v>
      </c>
      <c r="B347" s="18"/>
      <c r="C347" s="18" t="s">
        <v>682</v>
      </c>
      <c r="D347" s="18" t="str">
        <f ca="1">IFERROR(__xludf.DUMMYFUNCTION("GoogleTranslate(A344, ""es"", ""en"")"),"awl")</f>
        <v>awl</v>
      </c>
      <c r="E347" s="18" t="str">
        <f ca="1">IFERROR(__xludf.DUMMYFUNCTION("GoogleTranslate(A344, ""es"", ""fr"")"),"poinçon")</f>
        <v>poinçon</v>
      </c>
      <c r="F347" s="18" t="str">
        <f ca="1">IFERROR(__xludf.DUMMYFUNCTION("GoogleTranslate(A344, ""es"", ""de"")"),"Ahle")</f>
        <v>Ahle</v>
      </c>
      <c r="G347" s="1"/>
    </row>
    <row r="348" spans="1:7" ht="51" x14ac:dyDescent="0.2">
      <c r="A348" s="18" t="s">
        <v>683</v>
      </c>
      <c r="B348" s="18"/>
      <c r="C348" s="18" t="s">
        <v>684</v>
      </c>
      <c r="D348" s="18" t="str">
        <f ca="1">IFERROR(__xludf.DUMMYFUNCTION("GoogleTranslate(A345, ""es"", ""en"")"),"edge painting")</f>
        <v>edge painting</v>
      </c>
      <c r="E348" s="18" t="str">
        <f ca="1">IFERROR(__xludf.DUMMYFUNCTION("GoogleTranslate(A345, ""es"", ""fr"")"),"peinture des bords")</f>
        <v>peinture des bords</v>
      </c>
      <c r="F348" s="18" t="str">
        <f ca="1">IFERROR(__xludf.DUMMYFUNCTION("GoogleTranslate(A345, ""es"", ""de"")"),"Kantenmalerei")</f>
        <v>Kantenmalerei</v>
      </c>
      <c r="G348" s="1"/>
    </row>
    <row r="349" spans="1:7" ht="51" x14ac:dyDescent="0.2">
      <c r="A349" s="18" t="s">
        <v>685</v>
      </c>
      <c r="B349" s="18"/>
      <c r="C349" s="18" t="s">
        <v>686</v>
      </c>
      <c r="D349" s="18" t="str">
        <f ca="1">IFERROR(__xludf.DUMMYFUNCTION("GoogleTranslate(A346, ""es"", ""en"")"),"ecological leather")</f>
        <v>ecological leather</v>
      </c>
      <c r="E349" s="18" t="str">
        <f ca="1">IFERROR(__xludf.DUMMYFUNCTION("GoogleTranslate(A346, ""es"", ""fr"")"),"cuir écologique")</f>
        <v>cuir écologique</v>
      </c>
      <c r="F349" s="18" t="str">
        <f ca="1">IFERROR(__xludf.DUMMYFUNCTION("GoogleTranslate(A346, ""es"", ""de"")"),"ökologisches Leder")</f>
        <v>ökologisches Leder</v>
      </c>
      <c r="G349" s="1"/>
    </row>
    <row r="350" spans="1:7" ht="51" x14ac:dyDescent="0.2">
      <c r="A350" s="18" t="s">
        <v>687</v>
      </c>
      <c r="B350" s="18"/>
      <c r="C350" s="18" t="s">
        <v>688</v>
      </c>
      <c r="D350" s="18" t="str">
        <f ca="1">IFERROR(__xludf.DUMMYFUNCTION("GoogleTranslate(A347, ""es"", ""en"")"),"kipskin")</f>
        <v>kipskin</v>
      </c>
      <c r="E350" s="18" t="str">
        <f ca="1">IFERROR(__xludf.DUMMYFUNCTION("GoogleTranslate(A347, ""es"", ""fr"")"),"kipkin")</f>
        <v>kipkin</v>
      </c>
      <c r="F350" s="18" t="str">
        <f ca="1">IFERROR(__xludf.DUMMYFUNCTION("GoogleTranslate(A347, ""es"", ""de"")"),"Kippskin")</f>
        <v>Kippskin</v>
      </c>
      <c r="G350" s="1"/>
    </row>
    <row r="351" spans="1:7" ht="63.75" x14ac:dyDescent="0.2">
      <c r="A351" s="18" t="s">
        <v>689</v>
      </c>
      <c r="B351" s="18"/>
      <c r="C351" s="18" t="s">
        <v>690</v>
      </c>
      <c r="D351" s="18" t="str">
        <f ca="1">IFERROR(__xludf.DUMMYFUNCTION("GoogleTranslate(A348, ""es"", ""en"")"),"kangaroo (skin)")</f>
        <v>kangaroo (skin)</v>
      </c>
      <c r="E351" s="18" t="str">
        <f ca="1">IFERROR(__xludf.DUMMYFUNCTION("GoogleTranslate(A348, ""es"", ""fr"")"),"kangourou (peau)")</f>
        <v>kangourou (peau)</v>
      </c>
      <c r="F351" s="18" t="str">
        <f ca="1">IFERROR(__xludf.DUMMYFUNCTION("GoogleTranslate(A348, ""es"", ""de"")"),"Känguru (Haut)")</f>
        <v>Känguru (Haut)</v>
      </c>
      <c r="G351" s="1"/>
    </row>
    <row r="352" spans="1:7" ht="51" x14ac:dyDescent="0.2">
      <c r="A352" s="18" t="s">
        <v>691</v>
      </c>
      <c r="B352" s="18"/>
      <c r="C352" s="18" t="s">
        <v>692</v>
      </c>
      <c r="D352" s="18" t="str">
        <f ca="1">IFERROR(__xludf.DUMMYFUNCTION("GoogleTranslate(A349, ""es"", ""en"")"),"kevlar thread")</f>
        <v>kevlar thread</v>
      </c>
      <c r="E352" s="18" t="str">
        <f ca="1">IFERROR(__xludf.DUMMYFUNCTION("GoogleTranslate(A349, ""es"", ""fr"")"),"fil de kevlar")</f>
        <v>fil de kevlar</v>
      </c>
      <c r="F352" s="18" t="str">
        <f ca="1">IFERROR(__xludf.DUMMYFUNCTION("GoogleTranslate(A349, ""es"", ""de"")"),"Kevlar-Faden")</f>
        <v>Kevlar-Faden</v>
      </c>
      <c r="G352" s="1"/>
    </row>
    <row r="353" spans="1:7" ht="51" x14ac:dyDescent="0.2">
      <c r="A353" s="18" t="s">
        <v>693</v>
      </c>
      <c r="B353" s="18"/>
      <c r="C353" s="18" t="s">
        <v>694</v>
      </c>
      <c r="D353" s="18" t="str">
        <f ca="1">IFERROR(__xludf.DUMMYFUNCTION("GoogleTranslate(A350, ""es"", ""en"")"),"keratin")</f>
        <v>keratin</v>
      </c>
      <c r="E353" s="18" t="str">
        <f ca="1">IFERROR(__xludf.DUMMYFUNCTION("GoogleTranslate(A350, ""es"", ""fr"")"),"kératine")</f>
        <v>kératine</v>
      </c>
      <c r="F353" s="18" t="str">
        <f ca="1">IFERROR(__xludf.DUMMYFUNCTION("GoogleTranslate(A350, ""es"", ""de"")"),"Keratin")</f>
        <v>Keratin</v>
      </c>
      <c r="G353" s="1"/>
    </row>
    <row r="354" spans="1:7" ht="51" x14ac:dyDescent="0.2">
      <c r="A354" s="18" t="s">
        <v>695</v>
      </c>
      <c r="B354" s="18"/>
      <c r="C354" s="18" t="s">
        <v>696</v>
      </c>
      <c r="D354" s="18" t="str">
        <f ca="1">IFERROR(__xludf.DUMMYFUNCTION("GoogleTranslate(A351, ""es"", ""en"")"),"Krause cord")</f>
        <v>Krause cord</v>
      </c>
      <c r="E354" s="18" t="str">
        <f ca="1">IFERROR(__xludf.DUMMYFUNCTION("GoogleTranslate(A351, ""es"", ""fr"")"),"Cordon Krause")</f>
        <v>Cordon Krause</v>
      </c>
      <c r="F354" s="18" t="str">
        <f ca="1">IFERROR(__xludf.DUMMYFUNCTION("GoogleTranslate(A351, ""es"", ""de"")"),"Krause-Schnur")</f>
        <v>Krause-Schnur</v>
      </c>
      <c r="G354" s="1"/>
    </row>
    <row r="355" spans="1:7" ht="51" x14ac:dyDescent="0.2">
      <c r="A355" s="18" t="s">
        <v>697</v>
      </c>
      <c r="B355" s="18"/>
      <c r="C355" s="18" t="s">
        <v>698</v>
      </c>
      <c r="D355" s="18" t="str">
        <f ca="1">IFERROR(__xludf.DUMMYFUNCTION("GoogleTranslate(A352, ""es"", ""en"")"),"culotte")</f>
        <v>culotte</v>
      </c>
      <c r="E355" s="18" t="str">
        <f ca="1">IFERROR(__xludf.DUMMYFUNCTION("GoogleTranslate(A352, ""es"", ""fr"")"),"culotte")</f>
        <v>culotte</v>
      </c>
      <c r="F355" s="18" t="str">
        <f ca="1">IFERROR(__xludf.DUMMYFUNCTION("GoogleTranslate(A352, ""es"", ""de"")"),"Culotte")</f>
        <v>Culotte</v>
      </c>
      <c r="G355" s="1"/>
    </row>
    <row r="356" spans="1:7" ht="63.75" x14ac:dyDescent="0.2">
      <c r="A356" s="18" t="s">
        <v>699</v>
      </c>
      <c r="B356" s="18"/>
      <c r="C356" s="18" t="s">
        <v>700</v>
      </c>
      <c r="D356" s="18" t="str">
        <f ca="1">IFERROR(__xludf.DUMMYFUNCTION("GoogleTranslate(A353, ""es"", ""en"")"),"Kikers (skin)")</f>
        <v>Kikers (skin)</v>
      </c>
      <c r="E356" s="18" t="str">
        <f ca="1">IFERROR(__xludf.DUMMYFUNCTION("GoogleTranslate(A353, ""es"", ""fr"")"),"Kikers (peau)")</f>
        <v>Kikers (peau)</v>
      </c>
      <c r="F356" s="18" t="str">
        <f ca="1">IFERROR(__xludf.DUMMYFUNCTION("GoogleTranslate(A353, ""es"", ""de"")"),"Kiker (Haut)")</f>
        <v>Kiker (Haut)</v>
      </c>
      <c r="G356" s="1"/>
    </row>
    <row r="357" spans="1:7" ht="63.75" x14ac:dyDescent="0.2">
      <c r="A357" s="18" t="s">
        <v>701</v>
      </c>
      <c r="B357" s="18"/>
      <c r="C357" s="18" t="s">
        <v>702</v>
      </c>
      <c r="D357" s="18" t="str">
        <f ca="1">IFERROR(__xludf.DUMMYFUNCTION("GoogleTranslate(A354, ""es"", ""en"")"),"cover")</f>
        <v>cover</v>
      </c>
      <c r="E357" s="18" t="str">
        <f ca="1">IFERROR(__xludf.DUMMYFUNCTION("GoogleTranslate(A354, ""es"", ""fr"")"),"couverture")</f>
        <v>couverture</v>
      </c>
      <c r="F357" s="18" t="str">
        <f ca="1">IFERROR(__xludf.DUMMYFUNCTION("GoogleTranslate(A354, ""es"", ""de"")"),"Abdeckung")</f>
        <v>Abdeckung</v>
      </c>
      <c r="G357" s="1"/>
    </row>
    <row r="358" spans="1:7" ht="51" x14ac:dyDescent="0.2">
      <c r="A358" s="18" t="s">
        <v>703</v>
      </c>
      <c r="B358" s="18"/>
      <c r="C358" s="18" t="s">
        <v>704</v>
      </c>
      <c r="D358" s="18" t="str">
        <f ca="1">IFERROR(__xludf.DUMMYFUNCTION("GoogleTranslate(A355, ""es"", ""en"")"),"lizard (skin)")</f>
        <v>lizard (skin)</v>
      </c>
      <c r="E358" s="18" t="str">
        <f ca="1">IFERROR(__xludf.DUMMYFUNCTION("GoogleTranslate(A355, ""es"", ""fr"")"),"lézard (peau)")</f>
        <v>lézard (peau)</v>
      </c>
      <c r="F358" s="18" t="str">
        <f ca="1">IFERROR(__xludf.DUMMYFUNCTION("GoogleTranslate(A355, ""es"", ""de"")"),"Eidechse (Haut)")</f>
        <v>Eidechse (Haut)</v>
      </c>
      <c r="G358" s="1"/>
    </row>
    <row r="359" spans="1:7" ht="38.25" x14ac:dyDescent="0.2">
      <c r="A359" s="18" t="s">
        <v>705</v>
      </c>
      <c r="B359" s="18"/>
      <c r="C359" s="18" t="s">
        <v>706</v>
      </c>
      <c r="D359" s="18" t="str">
        <f ca="1">IFERROR(__xludf.DUMMYFUNCTION("GoogleTranslate(A356, ""es"", ""en"")"),"loom")</f>
        <v>loom</v>
      </c>
      <c r="E359" s="18" t="str">
        <f ca="1">IFERROR(__xludf.DUMMYFUNCTION("GoogleTranslate(A356, ""es"", ""fr"")"),"métier à tisser")</f>
        <v>métier à tisser</v>
      </c>
      <c r="F359" s="18" t="str">
        <f ca="1">IFERROR(__xludf.DUMMYFUNCTION("GoogleTranslate(A356, ""es"", ""de"")"),"Webstuhl")</f>
        <v>Webstuhl</v>
      </c>
      <c r="G359" s="1"/>
    </row>
    <row r="360" spans="1:7" ht="51" x14ac:dyDescent="0.2">
      <c r="A360" s="18" t="s">
        <v>707</v>
      </c>
      <c r="B360" s="18"/>
      <c r="C360" s="18" t="s">
        <v>708</v>
      </c>
      <c r="D360" s="18" t="str">
        <f ca="1">IFERROR(__xludf.DUMMYFUNCTION("GoogleTranslate(A357, ""es"", ""en"")"),"mottled")</f>
        <v>mottled</v>
      </c>
      <c r="E360" s="18" t="str">
        <f ca="1">IFERROR(__xludf.DUMMYFUNCTION("GoogleTranslate(A357, ""es"", ""fr"")"),"tacheté")</f>
        <v>tacheté</v>
      </c>
      <c r="F360" s="18" t="str">
        <f ca="1">IFERROR(__xludf.DUMMYFUNCTION("GoogleTranslate(A357, ""es"", ""de"")"),"gesprenkelt")</f>
        <v>gesprenkelt</v>
      </c>
      <c r="G360" s="1"/>
    </row>
    <row r="361" spans="1:7" ht="38.25" x14ac:dyDescent="0.2">
      <c r="A361" s="18" t="s">
        <v>709</v>
      </c>
      <c r="B361" s="18"/>
      <c r="C361" s="18" t="s">
        <v>710</v>
      </c>
      <c r="D361" s="18" t="str">
        <f ca="1">IFERROR(__xludf.DUMMYFUNCTION("GoogleTranslate(A358, ""es"", ""en"")"),"Moonlight")</f>
        <v>Moonlight</v>
      </c>
      <c r="E361" s="18" t="str">
        <f ca="1">IFERROR(__xludf.DUMMYFUNCTION("GoogleTranslate(A358, ""es"", ""fr"")"),"clair de lune")</f>
        <v>clair de lune</v>
      </c>
      <c r="F361" s="18" t="str">
        <f ca="1">IFERROR(__xludf.DUMMYFUNCTION("GoogleTranslate(A358, ""es"", ""de"")"),"Mondlicht")</f>
        <v>Mondlicht</v>
      </c>
      <c r="G361" s="1"/>
    </row>
    <row r="362" spans="1:7" ht="63.75" x14ac:dyDescent="0.2">
      <c r="A362" s="18" t="s">
        <v>711</v>
      </c>
      <c r="B362" s="18"/>
      <c r="C362" s="18" t="s">
        <v>712</v>
      </c>
      <c r="D362" s="18" t="str">
        <f ca="1">IFERROR(__xludf.DUMMYFUNCTION("GoogleTranslate(A359, ""es"", ""en"")"),"microperforation")</f>
        <v>microperforation</v>
      </c>
      <c r="E362" s="18" t="str">
        <f ca="1">IFERROR(__xludf.DUMMYFUNCTION("GoogleTranslate(A359, ""es"", ""fr"")"),"microperforation")</f>
        <v>microperforation</v>
      </c>
      <c r="F362" s="18" t="str">
        <f ca="1">IFERROR(__xludf.DUMMYFUNCTION("GoogleTranslate(A359, ""es"", ""de"")"),"Mikroperforation")</f>
        <v>Mikroperforation</v>
      </c>
      <c r="G362" s="1"/>
    </row>
    <row r="363" spans="1:7" ht="63.75" x14ac:dyDescent="0.2">
      <c r="A363" s="18" t="s">
        <v>713</v>
      </c>
      <c r="B363" s="18"/>
      <c r="C363" s="18" t="s">
        <v>714</v>
      </c>
      <c r="D363" s="18" t="str">
        <f ca="1">IFERROR(__xludf.DUMMYFUNCTION("GoogleTranslate(A360, ""es"", ""en"")"),"navel (skin)")</f>
        <v>navel (skin)</v>
      </c>
      <c r="E363" s="18" t="str">
        <f ca="1">IFERROR(__xludf.DUMMYFUNCTION("GoogleTranslate(A360, ""es"", ""fr"")"),"nombril (peau)")</f>
        <v>nombril (peau)</v>
      </c>
      <c r="F363" s="18" t="str">
        <f ca="1">IFERROR(__xludf.DUMMYFUNCTION("GoogleTranslate(A360, ""es"", ""de"")"),"Nabel (Haut)")</f>
        <v>Nabel (Haut)</v>
      </c>
      <c r="G363" s="1"/>
    </row>
    <row r="364" spans="1:7" ht="38.25" x14ac:dyDescent="0.2">
      <c r="A364" s="18" t="s">
        <v>715</v>
      </c>
      <c r="B364" s="18"/>
      <c r="C364" s="18" t="s">
        <v>716</v>
      </c>
      <c r="D364" s="18" t="str">
        <f ca="1">IFERROR(__xludf.DUMMYFUNCTION("GoogleTranslate(A361, ""es"", ""en"")"),"needle felting")</f>
        <v>needle felting</v>
      </c>
      <c r="E364" s="18" t="str">
        <f ca="1">IFERROR(__xludf.DUMMYFUNCTION("GoogleTranslate(A361, ""es"", ""fr"")"),"feutrage à l'aiguille")</f>
        <v>feutrage à l'aiguille</v>
      </c>
      <c r="F364" s="18" t="str">
        <f ca="1">IFERROR(__xludf.DUMMYFUNCTION("GoogleTranslate(A361, ""es"", ""de"")"),"Nadelfilzen")</f>
        <v>Nadelfilzen</v>
      </c>
      <c r="G364" s="1"/>
    </row>
    <row r="365" spans="1:7" ht="51" x14ac:dyDescent="0.2">
      <c r="A365" s="18" t="s">
        <v>717</v>
      </c>
      <c r="B365" s="18"/>
      <c r="C365" s="18" t="s">
        <v>718</v>
      </c>
      <c r="D365" s="18" t="str">
        <f ca="1">IFERROR(__xludf.DUMMYFUNCTION("GoogleTranslate(A362, ""es"", ""en"")"),"black (skin)")</f>
        <v>black (skin)</v>
      </c>
      <c r="E365" s="18" t="str">
        <f ca="1">IFERROR(__xludf.DUMMYFUNCTION("GoogleTranslate(A362, ""es"", ""fr"")"),"peau noire)")</f>
        <v>peau noire)</v>
      </c>
      <c r="F365" s="18" t="str">
        <f ca="1">IFERROR(__xludf.DUMMYFUNCTION("GoogleTranslate(A362, ""es"", ""de"")"),"schwarze Haut)")</f>
        <v>schwarze Haut)</v>
      </c>
      <c r="G365" s="1"/>
    </row>
    <row r="366" spans="1:7" ht="51" x14ac:dyDescent="0.2">
      <c r="A366" s="18" t="s">
        <v>719</v>
      </c>
      <c r="B366" s="18"/>
      <c r="C366" s="18" t="s">
        <v>720</v>
      </c>
      <c r="D366" s="18" t="str">
        <f ca="1">IFERROR(__xludf.DUMMYFUNCTION("GoogleTranslate(A363, ""es"", ""en"")"),"nickel free leather")</f>
        <v>nickel free leather</v>
      </c>
      <c r="E366" s="18" t="str">
        <f ca="1">IFERROR(__xludf.DUMMYFUNCTION("GoogleTranslate(A363, ""es"", ""fr"")"),"cuir sans nickel")</f>
        <v>cuir sans nickel</v>
      </c>
      <c r="F366" s="18" t="str">
        <f ca="1">IFERROR(__xludf.DUMMYFUNCTION("GoogleTranslate(A363, ""es"", ""de"")"),"nickelfreies Leder")</f>
        <v>nickelfreies Leder</v>
      </c>
      <c r="G366" s="1"/>
    </row>
    <row r="367" spans="1:7" ht="51" x14ac:dyDescent="0.2">
      <c r="A367" s="18" t="s">
        <v>721</v>
      </c>
      <c r="B367" s="18"/>
      <c r="C367" s="18" t="s">
        <v>722</v>
      </c>
      <c r="D367" s="18" t="str">
        <f ca="1">IFERROR(__xludf.DUMMYFUNCTION("GoogleTranslate(A364, ""es"", ""en"")"),"nitrile rubber sole")</f>
        <v>nitrile rubber sole</v>
      </c>
      <c r="E367" s="18" t="str">
        <f ca="1">IFERROR(__xludf.DUMMYFUNCTION("GoogleTranslate(A364, ""es"", ""fr"")"),"semelle en caoutchouc nitrile")</f>
        <v>semelle en caoutchouc nitrile</v>
      </c>
      <c r="F367" s="18" t="str">
        <f ca="1">IFERROR(__xludf.DUMMYFUNCTION("GoogleTranslate(A364, ""es"", ""de"")"),"Nitrilkautschuksohle")</f>
        <v>Nitrilkautschuksohle</v>
      </c>
      <c r="G367" s="1"/>
    </row>
    <row r="368" spans="1:7" ht="51" x14ac:dyDescent="0.2">
      <c r="A368" s="18" t="s">
        <v>723</v>
      </c>
      <c r="B368" s="18"/>
      <c r="C368" s="18" t="s">
        <v>724</v>
      </c>
      <c r="D368" s="18" t="str">
        <f ca="1">IFERROR(__xludf.DUMMYFUNCTION("GoogleTranslate(A365, ""es"", ""en"")"),"nylon thread")</f>
        <v>nylon thread</v>
      </c>
      <c r="E368" s="18" t="str">
        <f ca="1">IFERROR(__xludf.DUMMYFUNCTION("GoogleTranslate(A365, ""es"", ""fr"")"),"fil de nylon")</f>
        <v>fil de nylon</v>
      </c>
      <c r="F368" s="18" t="str">
        <f ca="1">IFERROR(__xludf.DUMMYFUNCTION("GoogleTranslate(A365, ""es"", ""de"")"),"Nylon Faden")</f>
        <v>Nylon Faden</v>
      </c>
      <c r="G368" s="1"/>
    </row>
    <row r="369" spans="1:7" ht="51" x14ac:dyDescent="0.2">
      <c r="A369" s="18" t="s">
        <v>725</v>
      </c>
      <c r="B369" s="18"/>
      <c r="C369" s="18" t="s">
        <v>726</v>
      </c>
      <c r="D369" s="18" t="str">
        <f ca="1">IFERROR(__xludf.DUMMYFUNCTION("GoogleTranslate(A366, ""es"", ""en"")"),"Nymo thread")</f>
        <v>Nymo thread</v>
      </c>
      <c r="E369" s="18" t="str">
        <f ca="1">IFERROR(__xludf.DUMMYFUNCTION("GoogleTranslate(A366, ""es"", ""fr"")"),"Fil Nymo")</f>
        <v>Fil Nymo</v>
      </c>
      <c r="F369" s="18" t="str">
        <f ca="1">IFERROR(__xludf.DUMMYFUNCTION("GoogleTranslate(A366, ""es"", ""de"")"),"Nymo-Thread")</f>
        <v>Nymo-Thread</v>
      </c>
      <c r="G369" s="1"/>
    </row>
    <row r="370" spans="1:7" ht="51" x14ac:dyDescent="0.2">
      <c r="A370" s="18" t="s">
        <v>727</v>
      </c>
      <c r="B370" s="18"/>
      <c r="C370" s="18" t="s">
        <v>728</v>
      </c>
      <c r="D370" s="18" t="str">
        <f ca="1">IFERROR(__xludf.DUMMYFUNCTION("GoogleTranslate(A367, ""es"", ""en"")"),"open pore (skin)")</f>
        <v>open pore (skin)</v>
      </c>
      <c r="E370" s="18" t="str">
        <f ca="1">IFERROR(__xludf.DUMMYFUNCTION("GoogleTranslate(A367, ""es"", ""fr"")"),"pores ouverts (peau)")</f>
        <v>pores ouverts (peau)</v>
      </c>
      <c r="F370" s="18" t="str">
        <f ca="1">IFERROR(__xludf.DUMMYFUNCTION("GoogleTranslate(A367, ""es"", ""de"")"),"offene Pore (Haut)")</f>
        <v>offene Pore (Haut)</v>
      </c>
      <c r="G370" s="1"/>
    </row>
    <row r="371" spans="1:7" ht="51" x14ac:dyDescent="0.2">
      <c r="A371" s="18" t="s">
        <v>729</v>
      </c>
      <c r="B371" s="18"/>
      <c r="C371" s="18" t="s">
        <v>730</v>
      </c>
      <c r="D371" s="18" t="str">
        <f ca="1">IFERROR(__xludf.DUMMYFUNCTION("GoogleTranslate(A368, ""es"", ""en"")"),"overstitched")</f>
        <v>overstitched</v>
      </c>
      <c r="E371" s="18" t="str">
        <f ca="1">IFERROR(__xludf.DUMMYFUNCTION("GoogleTranslate(A368, ""es"", ""fr"")"),"surpiqué")</f>
        <v>surpiqué</v>
      </c>
      <c r="F371" s="18" t="str">
        <f ca="1">IFERROR(__xludf.DUMMYFUNCTION("GoogleTranslate(A368, ""es"", ""de"")"),"übernäht")</f>
        <v>übernäht</v>
      </c>
      <c r="G371" s="1"/>
    </row>
    <row r="372" spans="1:7" ht="51" x14ac:dyDescent="0.2">
      <c r="A372" s="18" t="s">
        <v>731</v>
      </c>
      <c r="B372" s="18"/>
      <c r="C372" s="18" t="s">
        <v>732</v>
      </c>
      <c r="D372" s="18" t="str">
        <f ca="1">IFERROR(__xludf.DUMMYFUNCTION("GoogleTranslate(A369, ""es"", ""en"")"),"offset printing")</f>
        <v>offset printing</v>
      </c>
      <c r="E372" s="18" t="str">
        <f ca="1">IFERROR(__xludf.DUMMYFUNCTION("GoogleTranslate(A369, ""es"", ""fr"")"),"impression offset")</f>
        <v>impression offset</v>
      </c>
      <c r="F372" s="18" t="str">
        <f ca="1">IFERROR(__xludf.DUMMYFUNCTION("GoogleTranslate(A369, ""es"", ""de"")"),"Offsetdruck")</f>
        <v>Offsetdruck</v>
      </c>
      <c r="G372" s="1"/>
    </row>
    <row r="373" spans="1:7" ht="51" x14ac:dyDescent="0.2">
      <c r="A373" s="18" t="s">
        <v>733</v>
      </c>
      <c r="B373" s="18"/>
      <c r="C373" s="18" t="s">
        <v>734</v>
      </c>
      <c r="D373" s="18" t="str">
        <f ca="1">IFERROR(__xludf.DUMMYFUNCTION("GoogleTranslate(A370, ""es"", ""en"")"),"ostrich (skin")</f>
        <v>ostrich (skin</v>
      </c>
      <c r="E373" s="18" t="str">
        <f ca="1">IFERROR(__xludf.DUMMYFUNCTION("GoogleTranslate(A370, ""es"", ""fr"")"),"autruche (peau")</f>
        <v>autruche (peau</v>
      </c>
      <c r="F373" s="18" t="str">
        <f ca="1">IFERROR(__xludf.DUMMYFUNCTION("GoogleTranslate(A370, ""es"", ""de"")"),"Strauß (Haut")</f>
        <v>Strauß (Haut</v>
      </c>
      <c r="G373" s="1"/>
    </row>
    <row r="374" spans="1:7" ht="51" x14ac:dyDescent="0.2">
      <c r="A374" s="18" t="s">
        <v>735</v>
      </c>
      <c r="B374" s="18"/>
      <c r="C374" s="18" t="s">
        <v>736</v>
      </c>
      <c r="D374" s="18" t="str">
        <f ca="1">IFERROR(__xludf.DUMMYFUNCTION("GoogleTranslate(A371, ""es"", ""en"")"),"ombre (skin)")</f>
        <v>ombre (skin)</v>
      </c>
      <c r="E374" s="18" t="str">
        <f ca="1">IFERROR(__xludf.DUMMYFUNCTION("GoogleTranslate(A371, ""es"", ""fr"")"),"ombre (peau)")</f>
        <v>ombre (peau)</v>
      </c>
      <c r="F374" s="18" t="str">
        <f ca="1">IFERROR(__xludf.DUMMYFUNCTION("GoogleTranslate(A371, ""es"", ""de"")"),"Ombre (Haut)")</f>
        <v>Ombre (Haut)</v>
      </c>
      <c r="G374" s="1"/>
    </row>
    <row r="375" spans="1:7" ht="51" x14ac:dyDescent="0.2">
      <c r="A375" s="18" t="s">
        <v>737</v>
      </c>
      <c r="B375" s="18"/>
      <c r="C375" s="18" t="s">
        <v>738</v>
      </c>
      <c r="D375" s="18" t="str">
        <f ca="1">IFERROR(__xludf.DUMMYFUNCTION("GoogleTranslate(A372, ""es"", ""en"")"),"organza (skin)")</f>
        <v>organza (skin)</v>
      </c>
      <c r="E375" s="18" t="str">
        <f ca="1">IFERROR(__xludf.DUMMYFUNCTION("GoogleTranslate(A372, ""es"", ""fr"")"),"organza (peau)")</f>
        <v>organza (peau)</v>
      </c>
      <c r="F375" s="18" t="str">
        <f ca="1">IFERROR(__xludf.DUMMYFUNCTION("GoogleTranslate(A372, ""es"", ""de"")"),"Organza (Haut)")</f>
        <v>Organza (Haut)</v>
      </c>
      <c r="G375" s="1"/>
    </row>
    <row r="376" spans="1:7" ht="51" x14ac:dyDescent="0.2">
      <c r="A376" s="18" t="s">
        <v>739</v>
      </c>
      <c r="B376" s="18"/>
      <c r="C376" s="18" t="s">
        <v>740</v>
      </c>
      <c r="D376" s="18" t="str">
        <f ca="1">IFERROR(__xludf.DUMMYFUNCTION("GoogleTranslate(A373, ""es"", ""en"")"),"overdyed")</f>
        <v>overdyed</v>
      </c>
      <c r="E376" s="18" t="str">
        <f ca="1">IFERROR(__xludf.DUMMYFUNCTION("GoogleTranslate(A373, ""es"", ""fr"")"),"surteint")</f>
        <v>surteint</v>
      </c>
      <c r="F376" s="18" t="str">
        <f ca="1">IFERROR(__xludf.DUMMYFUNCTION("GoogleTranslate(A373, ""es"", ""de"")"),"überfärbt")</f>
        <v>überfärbt</v>
      </c>
      <c r="G376" s="1"/>
    </row>
    <row r="377" spans="1:7" ht="25.5" x14ac:dyDescent="0.2">
      <c r="A377" s="18" t="s">
        <v>741</v>
      </c>
      <c r="B377" s="18"/>
      <c r="C377" s="18" t="s">
        <v>742</v>
      </c>
      <c r="D377" s="18" t="str">
        <f ca="1">IFERROR(__xludf.DUMMYFUNCTION("GoogleTranslate(A374, ""es"", ""en"")"),"shooter")</f>
        <v>shooter</v>
      </c>
      <c r="E377" s="18" t="str">
        <f ca="1">IFERROR(__xludf.DUMMYFUNCTION("GoogleTranslate(A374, ""es"", ""fr"")"),"tireur")</f>
        <v>tireur</v>
      </c>
      <c r="F377" s="18" t="str">
        <f ca="1">IFERROR(__xludf.DUMMYFUNCTION("GoogleTranslate(A374, ""es"", ""de"")"),"Schütze")</f>
        <v>Schütze</v>
      </c>
      <c r="G377" s="1"/>
    </row>
    <row r="378" spans="1:7" ht="38.25" x14ac:dyDescent="0.2">
      <c r="A378" s="18" t="s">
        <v>743</v>
      </c>
      <c r="B378" s="18"/>
      <c r="C378" s="18" t="s">
        <v>744</v>
      </c>
      <c r="D378" s="18" t="str">
        <f ca="1">IFERROR(__xludf.DUMMYFUNCTION("GoogleTranslate(A375, ""es"", ""en"")"),"pyrography")</f>
        <v>pyrography</v>
      </c>
      <c r="E378" s="18" t="str">
        <f ca="1">IFERROR(__xludf.DUMMYFUNCTION("GoogleTranslate(A375, ""es"", ""fr"")"),"pyrographie")</f>
        <v>pyrographie</v>
      </c>
      <c r="F378" s="18" t="str">
        <f ca="1">IFERROR(__xludf.DUMMYFUNCTION("GoogleTranslate(A375, ""es"", ""de"")"),"Brandmalerei")</f>
        <v>Brandmalerei</v>
      </c>
      <c r="G378" s="1"/>
    </row>
    <row r="379" spans="1:7" ht="38.25" x14ac:dyDescent="0.2">
      <c r="A379" s="18" t="s">
        <v>745</v>
      </c>
      <c r="B379" s="18"/>
      <c r="C379" s="18" t="s">
        <v>746</v>
      </c>
      <c r="D379" s="18" t="str">
        <f ca="1">IFERROR(__xludf.DUMMYFUNCTION("GoogleTranslate(A376, ""es"", ""en"")"),"padded")</f>
        <v>padded</v>
      </c>
      <c r="E379" s="18" t="str">
        <f ca="1">IFERROR(__xludf.DUMMYFUNCTION("GoogleTranslate(A376, ""es"", ""fr"")"),"rembourré")</f>
        <v>rembourré</v>
      </c>
      <c r="F379" s="18" t="str">
        <f ca="1">IFERROR(__xludf.DUMMYFUNCTION("GoogleTranslate(A376, ""es"", ""de"")"),"gepolstert")</f>
        <v>gepolstert</v>
      </c>
      <c r="G379" s="1"/>
    </row>
    <row r="380" spans="1:7" ht="51" x14ac:dyDescent="0.2">
      <c r="A380" s="18" t="s">
        <v>747</v>
      </c>
      <c r="B380" s="18"/>
      <c r="C380" s="18" t="s">
        <v>748</v>
      </c>
      <c r="D380" s="18" t="str">
        <f ca="1">IFERROR(__xludf.DUMMYFUNCTION("GoogleTranslate(A377, ""es"", ""en"")"),"palomino (leather)")</f>
        <v>palomino (leather)</v>
      </c>
      <c r="E380" s="18" t="str">
        <f ca="1">IFERROR(__xludf.DUMMYFUNCTION("GoogleTranslate(A377, ""es"", ""fr"")"),"palomino (cuir)")</f>
        <v>palomino (cuir)</v>
      </c>
      <c r="F380" s="18" t="str">
        <f ca="1">IFERROR(__xludf.DUMMYFUNCTION("GoogleTranslate(A377, ""es"", ""de"")"),"Palomino (Leder)")</f>
        <v>Palomino (Leder)</v>
      </c>
      <c r="G380" s="1"/>
    </row>
    <row r="381" spans="1:7" ht="38.25" x14ac:dyDescent="0.2">
      <c r="A381" s="18" t="s">
        <v>749</v>
      </c>
      <c r="B381" s="18"/>
      <c r="C381" s="18" t="s">
        <v>750</v>
      </c>
      <c r="D381" s="18" t="str">
        <f ca="1">IFERROR(__xludf.DUMMYFUNCTION("GoogleTranslate(A378, ""es"", ""en"")"),"border")</f>
        <v>border</v>
      </c>
      <c r="E381" s="18" t="str">
        <f ca="1">IFERROR(__xludf.DUMMYFUNCTION("GoogleTranslate(A378, ""es"", ""fr"")"),"frontière")</f>
        <v>frontière</v>
      </c>
      <c r="F381" s="18" t="str">
        <f ca="1">IFERROR(__xludf.DUMMYFUNCTION("GoogleTranslate(A378, ""es"", ""de"")"),"Grenze")</f>
        <v>Grenze</v>
      </c>
      <c r="G381" s="1"/>
    </row>
    <row r="382" spans="1:7" ht="38.25" x14ac:dyDescent="0.2">
      <c r="A382" s="18" t="s">
        <v>751</v>
      </c>
      <c r="B382" s="18"/>
      <c r="C382" s="18" t="s">
        <v>752</v>
      </c>
      <c r="D382" s="18" t="str">
        <f ca="1">IFERROR(__xludf.DUMMYFUNCTION("GoogleTranslate(A379, ""es"", ""en"")"),"toecap")</f>
        <v>toecap</v>
      </c>
      <c r="E382" s="18" t="str">
        <f ca="1">IFERROR(__xludf.DUMMYFUNCTION("GoogleTranslate(A379, ""es"", ""fr"")"),"embout")</f>
        <v>embout</v>
      </c>
      <c r="F382" s="18" t="str">
        <f ca="1">IFERROR(__xludf.DUMMYFUNCTION("GoogleTranslate(A379, ""es"", ""de"")"),"Zehenschutzkappe")</f>
        <v>Zehenschutzkappe</v>
      </c>
      <c r="G382" s="1"/>
    </row>
    <row r="383" spans="1:7" ht="25.5" x14ac:dyDescent="0.2">
      <c r="A383" s="18" t="s">
        <v>753</v>
      </c>
      <c r="B383" s="18"/>
      <c r="C383" s="18" t="s">
        <v>754</v>
      </c>
      <c r="D383" s="18" t="str">
        <f ca="1">IFERROR(__xludf.DUMMYFUNCTION("GoogleTranslate(A380, ""es"", ""en"")"),"reticulation")</f>
        <v>reticulation</v>
      </c>
      <c r="E383" s="18" t="str">
        <f ca="1">IFERROR(__xludf.DUMMYFUNCTION("GoogleTranslate(A380, ""es"", ""fr"")"),"réticulation")</f>
        <v>réticulation</v>
      </c>
      <c r="F383" s="18" t="str">
        <f ca="1">IFERROR(__xludf.DUMMYFUNCTION("GoogleTranslate(A380, ""es"", ""de"")"),"Retikulation")</f>
        <v>Retikulation</v>
      </c>
      <c r="G383" s="1"/>
    </row>
    <row r="384" spans="1:7" ht="38.25" x14ac:dyDescent="0.2">
      <c r="A384" s="18" t="s">
        <v>755</v>
      </c>
      <c r="B384" s="18"/>
      <c r="C384" s="18" t="s">
        <v>756</v>
      </c>
      <c r="D384" s="18" t="str">
        <f ca="1">IFERROR(__xludf.DUMMYFUNCTION("GoogleTranslate(A381, ""es"", ""en"")"),"Rounding")</f>
        <v>Rounding</v>
      </c>
      <c r="E384" s="18" t="str">
        <f ca="1">IFERROR(__xludf.DUMMYFUNCTION("GoogleTranslate(A381, ""es"", ""fr"")"),"Arrondi")</f>
        <v>Arrondi</v>
      </c>
      <c r="F384" s="18" t="str">
        <f ca="1">IFERROR(__xludf.DUMMYFUNCTION("GoogleTranslate(A381, ""es"", ""de"")"),"Rundung")</f>
        <v>Rundung</v>
      </c>
      <c r="G384" s="1"/>
    </row>
    <row r="385" spans="1:7" ht="38.25" x14ac:dyDescent="0.2">
      <c r="A385" s="18" t="s">
        <v>757</v>
      </c>
      <c r="B385" s="18"/>
      <c r="C385" s="18" t="s">
        <v>758</v>
      </c>
      <c r="D385" s="18" t="str">
        <f ca="1">IFERROR(__xludf.DUMMYFUNCTION("GoogleTranslate(A382, ""es"", ""en"")"),"running stitch")</f>
        <v>running stitch</v>
      </c>
      <c r="E385" s="18" t="str">
        <f ca="1">IFERROR(__xludf.DUMMYFUNCTION("GoogleTranslate(A382, ""es"", ""fr"")"),"point courant")</f>
        <v>point courant</v>
      </c>
      <c r="F385" s="18" t="str">
        <f ca="1">IFERROR(__xludf.DUMMYFUNCTION("GoogleTranslate(A382, ""es"", ""de"")"),"Vorstich")</f>
        <v>Vorstich</v>
      </c>
      <c r="G385" s="1"/>
    </row>
    <row r="386" spans="1:7" ht="51" x14ac:dyDescent="0.2">
      <c r="A386" s="18" t="s">
        <v>759</v>
      </c>
      <c r="B386" s="18"/>
      <c r="C386" s="18" t="s">
        <v>760</v>
      </c>
      <c r="D386" s="18" t="str">
        <f ca="1">IFERROR(__xludf.DUMMYFUNCTION("GoogleTranslate(A383, ""es"", ""en"")"),"booster")</f>
        <v>booster</v>
      </c>
      <c r="E386" s="18" t="str">
        <f ca="1">IFERROR(__xludf.DUMMYFUNCTION("GoogleTranslate(A383, ""es"", ""fr"")"),"amplificateur")</f>
        <v>amplificateur</v>
      </c>
      <c r="F386" s="18" t="str">
        <f ca="1">IFERROR(__xludf.DUMMYFUNCTION("GoogleTranslate(A383, ""es"", ""de"")"),"Booster")</f>
        <v>Booster</v>
      </c>
      <c r="G386" s="1"/>
    </row>
    <row r="387" spans="1:7" ht="38.25" x14ac:dyDescent="0.2">
      <c r="A387" s="18" t="s">
        <v>761</v>
      </c>
      <c r="B387" s="18"/>
      <c r="C387" s="18" t="s">
        <v>762</v>
      </c>
      <c r="D387" s="18" t="str">
        <f ca="1">IFERROR(__xludf.DUMMYFUNCTION("GoogleTranslate(A384, ""es"", ""en"")"),"frame")</f>
        <v>frame</v>
      </c>
      <c r="E387" s="18" t="str">
        <f ca="1">IFERROR(__xludf.DUMMYFUNCTION("GoogleTranslate(A384, ""es"", ""fr"")"),"cadre")</f>
        <v>cadre</v>
      </c>
      <c r="F387" s="18" t="str">
        <f ca="1">IFERROR(__xludf.DUMMYFUNCTION("GoogleTranslate(A384, ""es"", ""de"")"),"rahmen")</f>
        <v>rahmen</v>
      </c>
      <c r="G387" s="1"/>
    </row>
    <row r="388" spans="1:7" ht="38.25" x14ac:dyDescent="0.2">
      <c r="A388" s="18" t="s">
        <v>763</v>
      </c>
      <c r="B388" s="18"/>
      <c r="C388" s="18" t="s">
        <v>764</v>
      </c>
      <c r="D388" s="18" t="str">
        <f ca="1">IFERROR(__xludf.DUMMYFUNCTION("GoogleTranslate(A385, ""es"", ""en"")"),"retardant")</f>
        <v>retardant</v>
      </c>
      <c r="E388" s="18" t="str">
        <f ca="1">IFERROR(__xludf.DUMMYFUNCTION("GoogleTranslate(A385, ""es"", ""fr"")"),"retardateur")</f>
        <v>retardateur</v>
      </c>
      <c r="F388" s="18" t="str">
        <f ca="1">IFERROR(__xludf.DUMMYFUNCTION("GoogleTranslate(A385, ""es"", ""de"")"),"verzögernd")</f>
        <v>verzögernd</v>
      </c>
      <c r="G388" s="1"/>
    </row>
    <row r="389" spans="1:7" ht="51" x14ac:dyDescent="0.2">
      <c r="A389" s="18" t="s">
        <v>765</v>
      </c>
      <c r="B389" s="18"/>
      <c r="C389" s="18" t="s">
        <v>766</v>
      </c>
      <c r="D389" s="18" t="str">
        <f ca="1">IFERROR(__xludf.DUMMYFUNCTION("GoogleTranslate(A386, ""es"", ""en"")"),"reticulated foam")</f>
        <v>reticulated foam</v>
      </c>
      <c r="E389" s="18" t="str">
        <f ca="1">IFERROR(__xludf.DUMMYFUNCTION("GoogleTranslate(A386, ""es"", ""fr"")"),"mousse réticulée")</f>
        <v>mousse réticulée</v>
      </c>
      <c r="F389" s="18" t="str">
        <f ca="1">IFERROR(__xludf.DUMMYFUNCTION("GoogleTranslate(A386, ""es"", ""de"")"),"retikulierter Schaumstoff")</f>
        <v>retikulierter Schaumstoff</v>
      </c>
      <c r="G389" s="1"/>
    </row>
    <row r="390" spans="1:7" ht="25.5" x14ac:dyDescent="0.2">
      <c r="A390" s="18" t="s">
        <v>767</v>
      </c>
      <c r="B390" s="18"/>
      <c r="C390" s="18" t="s">
        <v>768</v>
      </c>
      <c r="D390" s="18" t="str">
        <f ca="1">IFERROR(__xludf.DUMMYFUNCTION("GoogleTranslate(A387, ""es"", ""en"")"),"winder")</f>
        <v>winder</v>
      </c>
      <c r="E390" s="18" t="str">
        <f ca="1">IFERROR(__xludf.DUMMYFUNCTION("GoogleTranslate(A387, ""es"", ""fr"")"),"remontoir")</f>
        <v>remontoir</v>
      </c>
      <c r="F390" s="18" t="str">
        <f ca="1">IFERROR(__xludf.DUMMYFUNCTION("GoogleTranslate(A387, ""es"", ""de"")"),"Wickler")</f>
        <v>Wickler</v>
      </c>
      <c r="G390" s="1"/>
    </row>
    <row r="391" spans="1:7" ht="38.25" x14ac:dyDescent="0.2">
      <c r="A391" s="18" t="s">
        <v>769</v>
      </c>
      <c r="B391" s="18"/>
      <c r="C391" s="18" t="s">
        <v>770</v>
      </c>
      <c r="D391" s="18" t="str">
        <f ca="1">IFERROR(__xludf.DUMMYFUNCTION("GoogleTranslate(A388, ""es"", ""en"")"),"razor")</f>
        <v>razor</v>
      </c>
      <c r="E391" s="18" t="str">
        <f ca="1">IFERROR(__xludf.DUMMYFUNCTION("GoogleTranslate(A388, ""es"", ""fr"")"),"le rasoir")</f>
        <v>le rasoir</v>
      </c>
      <c r="F391" s="18" t="str">
        <f ca="1">IFERROR(__xludf.DUMMYFUNCTION("GoogleTranslate(A388, ""es"", ""de"")"),"Rasierer")</f>
        <v>Rasierer</v>
      </c>
      <c r="G391" s="1"/>
    </row>
    <row r="392" spans="1:7" ht="38.25" x14ac:dyDescent="0.2">
      <c r="A392" s="18" t="s">
        <v>771</v>
      </c>
      <c r="B392" s="18"/>
      <c r="C392" s="18" t="s">
        <v>772</v>
      </c>
      <c r="D392" s="18" t="str">
        <f ca="1">IFERROR(__xludf.DUMMYFUNCTION("GoogleTranslate(A389, ""es"", ""en"")"),"rosin")</f>
        <v>rosin</v>
      </c>
      <c r="E392" s="18" t="str">
        <f ca="1">IFERROR(__xludf.DUMMYFUNCTION("GoogleTranslate(A389, ""es"", ""fr"")"),"colophane")</f>
        <v>colophane</v>
      </c>
      <c r="F392" s="18" t="str">
        <f ca="1">IFERROR(__xludf.DUMMYFUNCTION("GoogleTranslate(A389, ""es"", ""de"")"),"Kolophonium")</f>
        <v>Kolophonium</v>
      </c>
      <c r="G392" s="1"/>
    </row>
    <row r="393" spans="1:7" ht="51" x14ac:dyDescent="0.2">
      <c r="A393" s="18" t="s">
        <v>773</v>
      </c>
      <c r="B393" s="18"/>
      <c r="C393" s="18" t="s">
        <v>774</v>
      </c>
      <c r="D393" s="18" t="str">
        <f ca="1">IFERROR(__xludf.DUMMYFUNCTION("GoogleTranslate(A390, ""es"", ""en"")"),"skinning")</f>
        <v>skinning</v>
      </c>
      <c r="E393" s="18" t="str">
        <f ca="1">IFERROR(__xludf.DUMMYFUNCTION("GoogleTranslate(A390, ""es"", ""fr"")"),"dépouillement")</f>
        <v>dépouillement</v>
      </c>
      <c r="F393" s="18" t="str">
        <f ca="1">IFERROR(__xludf.DUMMYFUNCTION("GoogleTranslate(A390, ""es"", ""de"")"),"häuten")</f>
        <v>häuten</v>
      </c>
      <c r="G393" s="1"/>
    </row>
    <row r="394" spans="1:7" ht="38.25" x14ac:dyDescent="0.2">
      <c r="A394" s="18" t="s">
        <v>775</v>
      </c>
      <c r="B394" s="18"/>
      <c r="C394" s="18" t="s">
        <v>776</v>
      </c>
      <c r="D394" s="18" t="str">
        <f ca="1">IFERROR(__xludf.DUMMYFUNCTION("GoogleTranslate(A391, ""es"", ""en"")"),"saddle stitch")</f>
        <v>saddle stitch</v>
      </c>
      <c r="E394" s="18" t="str">
        <f ca="1">IFERROR(__xludf.DUMMYFUNCTION("GoogleTranslate(A391, ""es"", ""fr"")"),"point sellier")</f>
        <v>point sellier</v>
      </c>
      <c r="F394" s="18" t="str">
        <f ca="1">IFERROR(__xludf.DUMMYFUNCTION("GoogleTranslate(A391, ""es"", ""de"")"),"Sattelstich")</f>
        <v>Sattelstich</v>
      </c>
      <c r="G394" s="1"/>
    </row>
    <row r="395" spans="1:7" ht="38.25" x14ac:dyDescent="0.2">
      <c r="A395" s="18" t="s">
        <v>777</v>
      </c>
      <c r="B395" s="18"/>
      <c r="C395" s="18" t="s">
        <v>778</v>
      </c>
      <c r="D395" s="18" t="str">
        <f ca="1">IFERROR(__xludf.DUMMYFUNCTION("GoogleTranslate(A392, ""es"", ""en"")"),"shrinkage temperature")</f>
        <v>shrinkage temperature</v>
      </c>
      <c r="E395" s="18" t="str">
        <f ca="1">IFERROR(__xludf.DUMMYFUNCTION("GoogleTranslate(A392, ""es"", ""fr"")"),"température de retrait")</f>
        <v>température de retrait</v>
      </c>
      <c r="F395" s="18" t="str">
        <f ca="1">IFERROR(__xludf.DUMMYFUNCTION("GoogleTranslate(A392, ""es"", ""de"")"),"Schrumpftemperatur")</f>
        <v>Schrumpftemperatur</v>
      </c>
      <c r="G395" s="1"/>
    </row>
    <row r="396" spans="1:7" ht="51" x14ac:dyDescent="0.2">
      <c r="A396" s="18" t="s">
        <v>779</v>
      </c>
      <c r="B396" s="18"/>
      <c r="C396" s="18" t="s">
        <v>780</v>
      </c>
      <c r="D396" s="18" t="str">
        <f ca="1">IFERROR(__xludf.DUMMYFUNCTION("GoogleTranslate(A393, ""es"", ""en"")"),"splatter")</f>
        <v>splatter</v>
      </c>
      <c r="E396" s="18" t="str">
        <f ca="1">IFERROR(__xludf.DUMMYFUNCTION("GoogleTranslate(A393, ""es"", ""fr"")"),"éclabousser")</f>
        <v>éclabousser</v>
      </c>
      <c r="F396" s="18" t="str">
        <f ca="1">IFERROR(__xludf.DUMMYFUNCTION("GoogleTranslate(A393, ""es"", ""de"")"),"Spritzer")</f>
        <v>Spritzer</v>
      </c>
      <c r="G396" s="1"/>
    </row>
    <row r="397" spans="1:7" ht="38.25" x14ac:dyDescent="0.2">
      <c r="A397" s="18" t="s">
        <v>781</v>
      </c>
      <c r="B397" s="18"/>
      <c r="C397" s="18" t="s">
        <v>782</v>
      </c>
      <c r="D397" s="18" t="str">
        <f ca="1">IFERROR(__xludf.DUMMYFUNCTION("GoogleTranslate(A394, ""es"", ""en"")"),"cleft")</f>
        <v>cleft</v>
      </c>
      <c r="E397" s="18" t="str">
        <f ca="1">IFERROR(__xludf.DUMMYFUNCTION("GoogleTranslate(A394, ""es"", ""fr"")"),"fendu")</f>
        <v>fendu</v>
      </c>
      <c r="F397" s="18" t="str">
        <f ca="1">IFERROR(__xludf.DUMMYFUNCTION("GoogleTranslate(A394, ""es"", ""de"")"),"gespalten")</f>
        <v>gespalten</v>
      </c>
      <c r="G397" s="1"/>
    </row>
    <row r="398" spans="1:7" ht="38.25" x14ac:dyDescent="0.2">
      <c r="A398" s="18" t="s">
        <v>783</v>
      </c>
      <c r="B398" s="18"/>
      <c r="C398" s="18" t="s">
        <v>784</v>
      </c>
      <c r="D398" s="18" t="str">
        <f ca="1">IFERROR(__xludf.DUMMYFUNCTION("GoogleTranslate(A395, ""es"", ""en"")"),"sausage")</f>
        <v>sausage</v>
      </c>
      <c r="E398" s="18" t="str">
        <f ca="1">IFERROR(__xludf.DUMMYFUNCTION("GoogleTranslate(A395, ""es"", ""fr"")"),"saucisse")</f>
        <v>saucisse</v>
      </c>
      <c r="F398" s="18" t="str">
        <f ca="1">IFERROR(__xludf.DUMMYFUNCTION("GoogleTranslate(A395, ""es"", ""de"")"),"Wurst")</f>
        <v>Wurst</v>
      </c>
      <c r="G398" s="1"/>
    </row>
    <row r="399" spans="1:7" ht="38.25" x14ac:dyDescent="0.2">
      <c r="A399" s="18" t="s">
        <v>785</v>
      </c>
      <c r="B399" s="18"/>
      <c r="C399" s="18" t="s">
        <v>786</v>
      </c>
      <c r="D399" s="18" t="str">
        <f ca="1">IFERROR(__xludf.DUMMYFUNCTION("GoogleTranslate(A396, ""es"", ""en"")"),"shearling")</f>
        <v>shearling</v>
      </c>
      <c r="E399" s="18" t="str">
        <f ca="1">IFERROR(__xludf.DUMMYFUNCTION("GoogleTranslate(A396, ""es"", ""fr"")"),"peau de mouton")</f>
        <v>peau de mouton</v>
      </c>
      <c r="F399" s="18" t="str">
        <f ca="1">IFERROR(__xludf.DUMMYFUNCTION("GoogleTranslate(A396, ""es"", ""de"")"),"Lammfell")</f>
        <v>Lammfell</v>
      </c>
      <c r="G399" s="1"/>
    </row>
    <row r="400" spans="1:7" ht="51" x14ac:dyDescent="0.2">
      <c r="A400" s="18" t="s">
        <v>787</v>
      </c>
      <c r="B400" s="18"/>
      <c r="C400" s="18" t="s">
        <v>788</v>
      </c>
      <c r="D400" s="18" t="str">
        <f ca="1">IFERROR(__xludf.DUMMYFUNCTION("GoogleTranslate(A397, ""es"", ""en"")"),"strap cutting")</f>
        <v>strap cutting</v>
      </c>
      <c r="E400" s="18" t="str">
        <f ca="1">IFERROR(__xludf.DUMMYFUNCTION("GoogleTranslate(A397, ""es"", ""fr"")"),"coupe de sangle")</f>
        <v>coupe de sangle</v>
      </c>
      <c r="F400" s="18" t="str">
        <f ca="1">IFERROR(__xludf.DUMMYFUNCTION("GoogleTranslate(A397, ""es"", ""de"")"),"Bandschneiden")</f>
        <v>Bandschneiden</v>
      </c>
      <c r="G400" s="1"/>
    </row>
    <row r="401" spans="1:7" ht="25.5" x14ac:dyDescent="0.2">
      <c r="A401" s="18" t="s">
        <v>787</v>
      </c>
      <c r="B401" s="18"/>
      <c r="C401" s="18" t="s">
        <v>789</v>
      </c>
      <c r="D401" s="18" t="str">
        <f ca="1">IFERROR(__xludf.DUMMYFUNCTION("GoogleTranslate(A398, ""es"", ""en"")"),"strap cutting")</f>
        <v>strap cutting</v>
      </c>
      <c r="E401" s="18" t="str">
        <f ca="1">IFERROR(__xludf.DUMMYFUNCTION("GoogleTranslate(A398, ""es"", ""fr"")"),"coupe de sangle")</f>
        <v>coupe de sangle</v>
      </c>
      <c r="F401" s="18" t="str">
        <f ca="1">IFERROR(__xludf.DUMMYFUNCTION("GoogleTranslate(A398, ""es"", ""de"")"),"Bandschneiden")</f>
        <v>Bandschneiden</v>
      </c>
      <c r="G401" s="1"/>
    </row>
    <row r="402" spans="1:7" ht="51" x14ac:dyDescent="0.2">
      <c r="A402" s="18" t="s">
        <v>790</v>
      </c>
      <c r="B402" s="18"/>
      <c r="C402" s="18" t="s">
        <v>791</v>
      </c>
      <c r="D402" s="18" t="str">
        <f ca="1">IFERROR(__xludf.DUMMYFUNCTION("GoogleTranslate(A399, ""es"", ""en"")"),"hardener")</f>
        <v>hardener</v>
      </c>
      <c r="E402" s="18" t="str">
        <f ca="1">IFERROR(__xludf.DUMMYFUNCTION("GoogleTranslate(A399, ""es"", ""fr"")"),"durcisseur")</f>
        <v>durcisseur</v>
      </c>
      <c r="F402" s="18" t="str">
        <f ca="1">IFERROR(__xludf.DUMMYFUNCTION("GoogleTranslate(A399, ""es"", ""de"")"),"Härter")</f>
        <v>Härter</v>
      </c>
      <c r="G402" s="1"/>
    </row>
    <row r="403" spans="1:7" ht="51" x14ac:dyDescent="0.2">
      <c r="A403" s="18" t="s">
        <v>792</v>
      </c>
      <c r="B403" s="18"/>
      <c r="C403" s="18" t="s">
        <v>793</v>
      </c>
      <c r="D403" s="18" t="str">
        <f ca="1">IFERROR(__xludf.DUMMYFUNCTION("GoogleTranslate(A400, ""es"", ""en"")"),"sawed")</f>
        <v>sawed</v>
      </c>
      <c r="E403" s="18" t="str">
        <f ca="1">IFERROR(__xludf.DUMMYFUNCTION("GoogleTranslate(A400, ""es"", ""fr"")"),"scié")</f>
        <v>scié</v>
      </c>
      <c r="F403" s="18" t="str">
        <f ca="1">IFERROR(__xludf.DUMMYFUNCTION("GoogleTranslate(A400, ""es"", ""de"")"),"gesägt")</f>
        <v>gesägt</v>
      </c>
      <c r="G403" s="1"/>
    </row>
    <row r="404" spans="1:7" ht="38.25" x14ac:dyDescent="0.2">
      <c r="A404" s="18" t="s">
        <v>794</v>
      </c>
      <c r="B404" s="18"/>
      <c r="C404" s="18" t="s">
        <v>795</v>
      </c>
      <c r="D404" s="18" t="str">
        <f ca="1">IFERROR(__xludf.DUMMYFUNCTION("GoogleTranslate(A401, ""es"", ""en"")"),"temper")</f>
        <v>temper</v>
      </c>
      <c r="E404" s="18" t="str">
        <f ca="1">IFERROR(__xludf.DUMMYFUNCTION("GoogleTranslate(A401, ""es"", ""fr"")"),"caractère")</f>
        <v>caractère</v>
      </c>
      <c r="F404" s="18" t="str">
        <f ca="1">IFERROR(__xludf.DUMMYFUNCTION("GoogleTranslate(A401, ""es"", ""de"")"),"Temperament")</f>
        <v>Temperament</v>
      </c>
      <c r="G404" s="1"/>
    </row>
    <row r="405" spans="1:7" ht="38.25" x14ac:dyDescent="0.2">
      <c r="A405" s="18" t="s">
        <v>796</v>
      </c>
      <c r="B405" s="18"/>
      <c r="C405" s="18" t="s">
        <v>797</v>
      </c>
      <c r="D405" s="18" t="str">
        <f ca="1">IFERROR(__xludf.DUMMYFUNCTION("GoogleTranslate(A402, ""es"", ""en"")"),"tumble finishing")</f>
        <v>tumble finishing</v>
      </c>
      <c r="E405" s="18" t="str">
        <f ca="1">IFERROR(__xludf.DUMMYFUNCTION("GoogleTranslate(A402, ""es"", ""fr"")"),"finition au culbutage")</f>
        <v>finition au culbutage</v>
      </c>
      <c r="F405" s="18" t="str">
        <f ca="1">IFERROR(__xludf.DUMMYFUNCTION("GoogleTranslate(A402, ""es"", ""de"")"),"Trommelveredelung")</f>
        <v>Trommelveredelung</v>
      </c>
      <c r="G405" s="1"/>
    </row>
    <row r="406" spans="1:7" ht="38.25" x14ac:dyDescent="0.2">
      <c r="A406" s="18" t="s">
        <v>798</v>
      </c>
      <c r="B406" s="18"/>
      <c r="C406" s="18" t="s">
        <v>799</v>
      </c>
      <c r="D406" s="18" t="str">
        <f ca="1">IFERROR(__xludf.DUMMYFUNCTION("GoogleTranslate(A403, ""es"", ""en"")"),"backstitch")</f>
        <v>backstitch</v>
      </c>
      <c r="E406" s="18" t="str">
        <f ca="1">IFERROR(__xludf.DUMMYFUNCTION("GoogleTranslate(A403, ""es"", ""fr"")"),"point arrière")</f>
        <v>point arrière</v>
      </c>
      <c r="F406" s="18" t="str">
        <f ca="1">IFERROR(__xludf.DUMMYFUNCTION("GoogleTranslate(A403, ""es"", ""de"")"),"Rückstich")</f>
        <v>Rückstich</v>
      </c>
      <c r="G406" s="1"/>
    </row>
    <row r="407" spans="1:7" ht="38.25" x14ac:dyDescent="0.2">
      <c r="A407" s="18" t="s">
        <v>800</v>
      </c>
      <c r="B407" s="18"/>
      <c r="C407" s="18" t="s">
        <v>801</v>
      </c>
      <c r="D407" s="18" t="str">
        <f ca="1">IFERROR(__xludf.DUMMYFUNCTION("GoogleTranslate(A404, ""es"", ""en"")"),"tannin")</f>
        <v>tannin</v>
      </c>
      <c r="E407" s="18" t="str">
        <f ca="1">IFERROR(__xludf.DUMMYFUNCTION("GoogleTranslate(A404, ""es"", ""fr"")"),"tanin")</f>
        <v>tanin</v>
      </c>
      <c r="F407" s="18" t="str">
        <f ca="1">IFERROR(__xludf.DUMMYFUNCTION("GoogleTranslate(A404, ""es"", ""de"")"),"Tannin")</f>
        <v>Tannin</v>
      </c>
      <c r="G407" s="1"/>
    </row>
    <row r="408" spans="1:7" ht="38.25" x14ac:dyDescent="0.2">
      <c r="A408" s="18" t="s">
        <v>802</v>
      </c>
      <c r="B408" s="18"/>
      <c r="C408" s="18" t="s">
        <v>803</v>
      </c>
      <c r="D408" s="18" t="str">
        <f ca="1">IFERROR(__xludf.DUMMYFUNCTION("GoogleTranslate(A405, ""es"", ""en"")"),"tuck and roll")</f>
        <v>tuck and roll</v>
      </c>
      <c r="E408" s="18" t="str">
        <f ca="1">IFERROR(__xludf.DUMMYFUNCTION("GoogleTranslate(A405, ""es"", ""fr"")"),"rentrer et rouler")</f>
        <v>rentrer et rouler</v>
      </c>
      <c r="F408" s="18" t="str">
        <f ca="1">IFERROR(__xludf.DUMMYFUNCTION("GoogleTranslate(A405, ""es"", ""de"")"),"stecken und rollen")</f>
        <v>stecken und rollen</v>
      </c>
      <c r="G408" s="1"/>
    </row>
    <row r="409" spans="1:7" ht="51" x14ac:dyDescent="0.2">
      <c r="A409" s="18" t="s">
        <v>804</v>
      </c>
      <c r="B409" s="18"/>
      <c r="C409" s="18" t="s">
        <v>805</v>
      </c>
      <c r="D409" s="18" t="str">
        <f ca="1">IFERROR(__xludf.DUMMYFUNCTION("GoogleTranslate(A406, ""es"", ""en"")"),"urea")</f>
        <v>urea</v>
      </c>
      <c r="E409" s="18" t="str">
        <f ca="1">IFERROR(__xludf.DUMMYFUNCTION("GoogleTranslate(A406, ""es"", ""fr"")"),"urée")</f>
        <v>urée</v>
      </c>
      <c r="F409" s="18" t="str">
        <f ca="1">IFERROR(__xludf.DUMMYFUNCTION("GoogleTranslate(A406, ""es"", ""de"")"),"Harnstoff")</f>
        <v>Harnstoff</v>
      </c>
      <c r="G409" s="1"/>
    </row>
    <row r="410" spans="1:7" ht="51" x14ac:dyDescent="0.2">
      <c r="A410" s="18" t="s">
        <v>806</v>
      </c>
      <c r="B410" s="18"/>
      <c r="C410" s="18" t="s">
        <v>807</v>
      </c>
      <c r="D410" s="18" t="str">
        <f ca="1">IFERROR(__xludf.DUMMYFUNCTION("GoogleTranslate(A407, ""es"", ""en"")"),"shovel")</f>
        <v>shovel</v>
      </c>
      <c r="E410" s="18" t="str">
        <f ca="1">IFERROR(__xludf.DUMMYFUNCTION("GoogleTranslate(A407, ""es"", ""fr"")"),"pelle")</f>
        <v>pelle</v>
      </c>
      <c r="F410" s="18" t="str">
        <f ca="1">IFERROR(__xludf.DUMMYFUNCTION("GoogleTranslate(A407, ""es"", ""de"")"),"Schaufel")</f>
        <v>Schaufel</v>
      </c>
      <c r="G410" s="1"/>
    </row>
    <row r="411" spans="1:7" ht="51" x14ac:dyDescent="0.2">
      <c r="A411" s="18" t="s">
        <v>808</v>
      </c>
      <c r="B411" s="18"/>
      <c r="C411" s="18" t="s">
        <v>809</v>
      </c>
      <c r="D411" s="18" t="str">
        <f ca="1">IFERROR(__xludf.DUMMYFUNCTION("GoogleTranslate(A408, ""es"", ""en"")"),"usnea")</f>
        <v>usnea</v>
      </c>
      <c r="E411" s="18" t="str">
        <f ca="1">IFERROR(__xludf.DUMMYFUNCTION("GoogleTranslate(A408, ""es"", ""fr"")"),"usnée")</f>
        <v>usnée</v>
      </c>
      <c r="F411" s="18" t="str">
        <f ca="1">IFERROR(__xludf.DUMMYFUNCTION("GoogleTranslate(A408, ""es"", ""de"")"),"usnea")</f>
        <v>usnea</v>
      </c>
      <c r="G411" s="1"/>
    </row>
    <row r="412" spans="1:7" ht="63.75" x14ac:dyDescent="0.2">
      <c r="A412" s="18" t="s">
        <v>810</v>
      </c>
      <c r="B412" s="18"/>
      <c r="C412" s="18" t="s">
        <v>811</v>
      </c>
      <c r="D412" s="18" t="str">
        <f ca="1">IFERROR(__xludf.DUMMYFUNCTION("GoogleTranslate(A409, ""es"", ""en"")"),"udometer")</f>
        <v>udometer</v>
      </c>
      <c r="E412" s="18" t="str">
        <f ca="1">IFERROR(__xludf.DUMMYFUNCTION("GoogleTranslate(A409, ""es"", ""fr"")"),"pluviomètre")</f>
        <v>pluviomètre</v>
      </c>
      <c r="F412" s="18" t="str">
        <f ca="1">IFERROR(__xludf.DUMMYFUNCTION("GoogleTranslate(A409, ""es"", ""de"")"),"Udometer")</f>
        <v>Udometer</v>
      </c>
      <c r="G412" s="1"/>
    </row>
    <row r="413" spans="1:7" ht="38.25" x14ac:dyDescent="0.2">
      <c r="A413" s="18" t="s">
        <v>539</v>
      </c>
      <c r="B413" s="18"/>
      <c r="C413" s="18" t="s">
        <v>812</v>
      </c>
      <c r="D413" s="18" t="str">
        <f ca="1">IFERROR(__xludf.DUMMYFUNCTION("GoogleTranslate(A410, ""es"", ""en"")"),"vellum")</f>
        <v>vellum</v>
      </c>
      <c r="E413" s="18" t="str">
        <f ca="1">IFERROR(__xludf.DUMMYFUNCTION("GoogleTranslate(A410, ""es"", ""fr"")"),"vélin")</f>
        <v>vélin</v>
      </c>
      <c r="F413" s="18" t="str">
        <f ca="1">IFERROR(__xludf.DUMMYFUNCTION("GoogleTranslate(A410, ""es"", ""de"")"),"Pergament")</f>
        <v>Pergament</v>
      </c>
      <c r="G413" s="1"/>
    </row>
    <row r="414" spans="1:7" ht="25.5" x14ac:dyDescent="0.2">
      <c r="A414" s="18" t="s">
        <v>813</v>
      </c>
      <c r="B414" s="18"/>
      <c r="C414" s="18" t="s">
        <v>814</v>
      </c>
      <c r="D414" s="18" t="str">
        <f ca="1">IFERROR(__xludf.DUMMYFUNCTION("GoogleTranslate(A411, ""es"", ""en"")"),"vampire")</f>
        <v>vampire</v>
      </c>
      <c r="E414" s="18" t="str">
        <f ca="1">IFERROR(__xludf.DUMMYFUNCTION("GoogleTranslate(A411, ""es"", ""fr"")"),"vampire")</f>
        <v>vampire</v>
      </c>
      <c r="F414" s="18" t="str">
        <f ca="1">IFERROR(__xludf.DUMMYFUNCTION("GoogleTranslate(A411, ""es"", ""de"")"),"Vampir")</f>
        <v>Vampir</v>
      </c>
      <c r="G414" s="1"/>
    </row>
    <row r="415" spans="1:7" ht="51" x14ac:dyDescent="0.2">
      <c r="A415" s="18" t="s">
        <v>815</v>
      </c>
      <c r="B415" s="18"/>
      <c r="C415" s="18" t="s">
        <v>816</v>
      </c>
      <c r="D415" s="18" t="str">
        <f ca="1">IFERROR(__xludf.DUMMYFUNCTION("GoogleTranslate(A412, ""es"", ""en"")"),"zigzag stitch")</f>
        <v>zigzag stitch</v>
      </c>
      <c r="E415" s="18" t="str">
        <f ca="1">IFERROR(__xludf.DUMMYFUNCTION("GoogleTranslate(A412, ""es"", ""fr"")"),"point zigzag")</f>
        <v>point zigzag</v>
      </c>
      <c r="F415" s="18" t="str">
        <f ca="1">IFERROR(__xludf.DUMMYFUNCTION("GoogleTranslate(A412, ""es"", ""de"")"),"Zickzackstich")</f>
        <v>Zickzackstich</v>
      </c>
      <c r="G415" s="1"/>
    </row>
    <row r="416" spans="1:7" ht="12.75" x14ac:dyDescent="0.2">
      <c r="C416" s="9"/>
    </row>
    <row r="417" spans="3:3" ht="12.75" x14ac:dyDescent="0.2">
      <c r="C417" s="9"/>
    </row>
    <row r="418" spans="3:3" ht="12.75" x14ac:dyDescent="0.2">
      <c r="C418" s="9"/>
    </row>
    <row r="419" spans="3:3" ht="12.75" x14ac:dyDescent="0.2">
      <c r="C419" s="9"/>
    </row>
    <row r="420" spans="3:3" ht="12.75" x14ac:dyDescent="0.2">
      <c r="C420" s="9"/>
    </row>
    <row r="421" spans="3:3" ht="12.75" x14ac:dyDescent="0.2">
      <c r="C421" s="9"/>
    </row>
    <row r="422" spans="3:3" ht="12.75" x14ac:dyDescent="0.2">
      <c r="C422" s="9"/>
    </row>
    <row r="423" spans="3:3" ht="12.75" x14ac:dyDescent="0.2">
      <c r="C423" s="9"/>
    </row>
    <row r="424" spans="3:3" ht="12.75" x14ac:dyDescent="0.2">
      <c r="C424" s="9"/>
    </row>
    <row r="425" spans="3:3" ht="12.75" x14ac:dyDescent="0.2">
      <c r="C425" s="9"/>
    </row>
    <row r="426" spans="3:3" ht="12.75" x14ac:dyDescent="0.2">
      <c r="C426" s="9"/>
    </row>
    <row r="427" spans="3:3" ht="12.75" x14ac:dyDescent="0.2">
      <c r="C427" s="9"/>
    </row>
    <row r="428" spans="3:3" ht="12.75" x14ac:dyDescent="0.2">
      <c r="C428" s="9"/>
    </row>
    <row r="429" spans="3:3" ht="12.75" x14ac:dyDescent="0.2">
      <c r="C429" s="9"/>
    </row>
    <row r="430" spans="3:3" ht="12.75" x14ac:dyDescent="0.2">
      <c r="C430" s="9"/>
    </row>
    <row r="431" spans="3:3" ht="12.75" x14ac:dyDescent="0.2">
      <c r="C431" s="9"/>
    </row>
    <row r="432" spans="3:3" ht="12.75" x14ac:dyDescent="0.2">
      <c r="C432" s="9"/>
    </row>
    <row r="433" spans="3:3" ht="12.75" x14ac:dyDescent="0.2">
      <c r="C433" s="9"/>
    </row>
    <row r="434" spans="3:3" ht="12.75" x14ac:dyDescent="0.2">
      <c r="C434" s="9"/>
    </row>
    <row r="435" spans="3:3" ht="12.75" x14ac:dyDescent="0.2">
      <c r="C435" s="9"/>
    </row>
    <row r="436" spans="3:3" ht="12.75" x14ac:dyDescent="0.2">
      <c r="C436" s="9"/>
    </row>
    <row r="437" spans="3:3" ht="12.75" x14ac:dyDescent="0.2">
      <c r="C437" s="9"/>
    </row>
    <row r="438" spans="3:3" ht="12.75" x14ac:dyDescent="0.2">
      <c r="C438" s="9"/>
    </row>
    <row r="439" spans="3:3" ht="12.75" x14ac:dyDescent="0.2">
      <c r="C439" s="9"/>
    </row>
    <row r="440" spans="3:3" ht="12.75" x14ac:dyDescent="0.2">
      <c r="C440" s="9"/>
    </row>
    <row r="441" spans="3:3" ht="12.75" x14ac:dyDescent="0.2">
      <c r="C441" s="9"/>
    </row>
    <row r="442" spans="3:3" ht="12.75" x14ac:dyDescent="0.2">
      <c r="C442" s="9"/>
    </row>
    <row r="443" spans="3:3" ht="12.75" x14ac:dyDescent="0.2">
      <c r="C443" s="9"/>
    </row>
    <row r="444" spans="3:3" ht="12.75" x14ac:dyDescent="0.2">
      <c r="C444" s="9"/>
    </row>
    <row r="445" spans="3:3" ht="12.75" x14ac:dyDescent="0.2">
      <c r="C445" s="9"/>
    </row>
    <row r="446" spans="3:3" ht="12.75" x14ac:dyDescent="0.2">
      <c r="C446" s="9"/>
    </row>
    <row r="447" spans="3:3" ht="12.75" x14ac:dyDescent="0.2">
      <c r="C447" s="9"/>
    </row>
    <row r="448" spans="3:3" ht="12.75" x14ac:dyDescent="0.2">
      <c r="C448" s="9"/>
    </row>
    <row r="449" spans="3:3" ht="12.75" x14ac:dyDescent="0.2">
      <c r="C449" s="9"/>
    </row>
    <row r="450" spans="3:3" ht="12.75" x14ac:dyDescent="0.2">
      <c r="C450" s="9"/>
    </row>
    <row r="451" spans="3:3" ht="12.75" x14ac:dyDescent="0.2">
      <c r="C451" s="9"/>
    </row>
    <row r="452" spans="3:3" ht="12.75" x14ac:dyDescent="0.2">
      <c r="C452" s="9"/>
    </row>
    <row r="453" spans="3:3" ht="12.75" x14ac:dyDescent="0.2">
      <c r="C453" s="9"/>
    </row>
    <row r="454" spans="3:3" ht="12.75" x14ac:dyDescent="0.2">
      <c r="C454" s="9"/>
    </row>
    <row r="455" spans="3:3" ht="12.75" x14ac:dyDescent="0.2">
      <c r="C455" s="9"/>
    </row>
    <row r="456" spans="3:3" ht="12.75" x14ac:dyDescent="0.2">
      <c r="C456" s="9"/>
    </row>
    <row r="457" spans="3:3" ht="12.75" x14ac:dyDescent="0.2">
      <c r="C457" s="9"/>
    </row>
    <row r="458" spans="3:3" ht="12.75" x14ac:dyDescent="0.2">
      <c r="C458" s="9"/>
    </row>
    <row r="459" spans="3:3" ht="12.75" x14ac:dyDescent="0.2">
      <c r="C459" s="9"/>
    </row>
    <row r="460" spans="3:3" ht="12.75" x14ac:dyDescent="0.2">
      <c r="C460" s="9"/>
    </row>
    <row r="461" spans="3:3" ht="12.75" x14ac:dyDescent="0.2">
      <c r="C461" s="9"/>
    </row>
    <row r="462" spans="3:3" ht="12.75" x14ac:dyDescent="0.2">
      <c r="C462" s="9"/>
    </row>
    <row r="463" spans="3:3" ht="12.75" x14ac:dyDescent="0.2">
      <c r="C463" s="9"/>
    </row>
    <row r="464" spans="3:3" ht="12.75" x14ac:dyDescent="0.2">
      <c r="C464" s="9"/>
    </row>
    <row r="465" spans="3:3" ht="12.75" x14ac:dyDescent="0.2">
      <c r="C465" s="9"/>
    </row>
    <row r="466" spans="3:3" ht="12.75" x14ac:dyDescent="0.2">
      <c r="C466" s="9"/>
    </row>
    <row r="467" spans="3:3" ht="12.75" x14ac:dyDescent="0.2">
      <c r="C467" s="9"/>
    </row>
    <row r="468" spans="3:3" ht="12.75" x14ac:dyDescent="0.2">
      <c r="C468" s="9"/>
    </row>
    <row r="469" spans="3:3" ht="12.75" x14ac:dyDescent="0.2">
      <c r="C469" s="9"/>
    </row>
    <row r="470" spans="3:3" ht="12.75" x14ac:dyDescent="0.2">
      <c r="C470" s="9"/>
    </row>
    <row r="471" spans="3:3" ht="12.75" x14ac:dyDescent="0.2">
      <c r="C471" s="9"/>
    </row>
    <row r="472" spans="3:3" ht="12.75" x14ac:dyDescent="0.2">
      <c r="C472" s="9"/>
    </row>
    <row r="473" spans="3:3" ht="12.75" x14ac:dyDescent="0.2">
      <c r="C473" s="9"/>
    </row>
    <row r="474" spans="3:3" ht="12.75" x14ac:dyDescent="0.2">
      <c r="C474" s="9"/>
    </row>
    <row r="475" spans="3:3" ht="12.75" x14ac:dyDescent="0.2">
      <c r="C475" s="9"/>
    </row>
    <row r="476" spans="3:3" ht="12.75" x14ac:dyDescent="0.2">
      <c r="C476" s="9"/>
    </row>
    <row r="477" spans="3:3" ht="12.75" x14ac:dyDescent="0.2">
      <c r="C477" s="9"/>
    </row>
    <row r="478" spans="3:3" ht="12.75" x14ac:dyDescent="0.2">
      <c r="C478" s="9"/>
    </row>
    <row r="479" spans="3:3" ht="12.75" x14ac:dyDescent="0.2">
      <c r="C479" s="9"/>
    </row>
    <row r="480" spans="3:3" ht="12.75" x14ac:dyDescent="0.2">
      <c r="C480" s="9"/>
    </row>
    <row r="481" spans="3:3" ht="12.75" x14ac:dyDescent="0.2">
      <c r="C481" s="9"/>
    </row>
    <row r="482" spans="3:3" ht="12.75" x14ac:dyDescent="0.2">
      <c r="C482" s="9"/>
    </row>
    <row r="483" spans="3:3" ht="12.75" x14ac:dyDescent="0.2">
      <c r="C483" s="9"/>
    </row>
    <row r="484" spans="3:3" ht="12.75" x14ac:dyDescent="0.2">
      <c r="C484" s="9"/>
    </row>
    <row r="485" spans="3:3" ht="12.75" x14ac:dyDescent="0.2">
      <c r="C485" s="9"/>
    </row>
    <row r="486" spans="3:3" ht="12.75" x14ac:dyDescent="0.2">
      <c r="C486" s="9"/>
    </row>
    <row r="487" spans="3:3" ht="12.75" x14ac:dyDescent="0.2">
      <c r="C487" s="9"/>
    </row>
    <row r="488" spans="3:3" ht="12.75" x14ac:dyDescent="0.2">
      <c r="C488" s="9"/>
    </row>
    <row r="489" spans="3:3" ht="12.75" x14ac:dyDescent="0.2">
      <c r="C489" s="9"/>
    </row>
    <row r="490" spans="3:3" ht="12.75" x14ac:dyDescent="0.2">
      <c r="C490" s="9"/>
    </row>
    <row r="491" spans="3:3" ht="12.75" x14ac:dyDescent="0.2">
      <c r="C491" s="9"/>
    </row>
    <row r="492" spans="3:3" ht="12.75" x14ac:dyDescent="0.2">
      <c r="C492" s="9"/>
    </row>
    <row r="493" spans="3:3" ht="12.75" x14ac:dyDescent="0.2">
      <c r="C493" s="9"/>
    </row>
    <row r="494" spans="3:3" ht="12.75" x14ac:dyDescent="0.2">
      <c r="C494" s="9"/>
    </row>
    <row r="495" spans="3:3" ht="12.75" x14ac:dyDescent="0.2">
      <c r="C495" s="9"/>
    </row>
    <row r="496" spans="3:3" ht="12.75" x14ac:dyDescent="0.2">
      <c r="C496" s="9"/>
    </row>
    <row r="497" spans="3:3" ht="12.75" x14ac:dyDescent="0.2">
      <c r="C497" s="9"/>
    </row>
    <row r="498" spans="3:3" ht="12.75" x14ac:dyDescent="0.2">
      <c r="C498" s="9"/>
    </row>
    <row r="499" spans="3:3" ht="12.75" x14ac:dyDescent="0.2">
      <c r="C499" s="9"/>
    </row>
    <row r="500" spans="3:3" ht="12.75" x14ac:dyDescent="0.2">
      <c r="C500" s="9"/>
    </row>
    <row r="501" spans="3:3" ht="12.75" x14ac:dyDescent="0.2">
      <c r="C501" s="9"/>
    </row>
    <row r="502" spans="3:3" ht="12.75" x14ac:dyDescent="0.2">
      <c r="C502" s="9"/>
    </row>
    <row r="503" spans="3:3" ht="12.75" x14ac:dyDescent="0.2">
      <c r="C503" s="9"/>
    </row>
    <row r="504" spans="3:3" ht="12.75" x14ac:dyDescent="0.2">
      <c r="C504" s="9"/>
    </row>
    <row r="505" spans="3:3" ht="12.75" x14ac:dyDescent="0.2">
      <c r="C505" s="9"/>
    </row>
    <row r="506" spans="3:3" ht="12.75" x14ac:dyDescent="0.2">
      <c r="C506" s="9"/>
    </row>
    <row r="507" spans="3:3" ht="12.75" x14ac:dyDescent="0.2">
      <c r="C507" s="9"/>
    </row>
    <row r="508" spans="3:3" ht="12.75" x14ac:dyDescent="0.2">
      <c r="C508" s="9"/>
    </row>
    <row r="509" spans="3:3" ht="12.75" x14ac:dyDescent="0.2">
      <c r="C509" s="9"/>
    </row>
    <row r="510" spans="3:3" ht="12.75" x14ac:dyDescent="0.2">
      <c r="C510" s="9"/>
    </row>
    <row r="511" spans="3:3" ht="12.75" x14ac:dyDescent="0.2">
      <c r="C511" s="9"/>
    </row>
    <row r="512" spans="3:3" ht="12.75" x14ac:dyDescent="0.2">
      <c r="C512" s="9"/>
    </row>
    <row r="513" spans="3:3" ht="12.75" x14ac:dyDescent="0.2">
      <c r="C513" s="9"/>
    </row>
    <row r="514" spans="3:3" ht="12.75" x14ac:dyDescent="0.2">
      <c r="C514" s="9"/>
    </row>
    <row r="515" spans="3:3" ht="12.75" x14ac:dyDescent="0.2">
      <c r="C515" s="9"/>
    </row>
    <row r="516" spans="3:3" ht="12.75" x14ac:dyDescent="0.2">
      <c r="C516" s="9"/>
    </row>
    <row r="517" spans="3:3" ht="12.75" x14ac:dyDescent="0.2">
      <c r="C517" s="9"/>
    </row>
    <row r="518" spans="3:3" ht="12.75" x14ac:dyDescent="0.2">
      <c r="C518" s="9"/>
    </row>
    <row r="519" spans="3:3" ht="12.75" x14ac:dyDescent="0.2">
      <c r="C519" s="9"/>
    </row>
    <row r="520" spans="3:3" ht="12.75" x14ac:dyDescent="0.2">
      <c r="C520" s="9"/>
    </row>
    <row r="521" spans="3:3" ht="12.75" x14ac:dyDescent="0.2">
      <c r="C521" s="9"/>
    </row>
    <row r="522" spans="3:3" ht="12.75" x14ac:dyDescent="0.2">
      <c r="C522" s="9"/>
    </row>
    <row r="523" spans="3:3" ht="12.75" x14ac:dyDescent="0.2">
      <c r="C523" s="9"/>
    </row>
    <row r="524" spans="3:3" ht="12.75" x14ac:dyDescent="0.2">
      <c r="C524" s="9"/>
    </row>
    <row r="525" spans="3:3" ht="12.75" x14ac:dyDescent="0.2">
      <c r="C525" s="9"/>
    </row>
    <row r="526" spans="3:3" ht="12.75" x14ac:dyDescent="0.2">
      <c r="C526" s="9"/>
    </row>
    <row r="527" spans="3:3" ht="12.75" x14ac:dyDescent="0.2">
      <c r="C527" s="9"/>
    </row>
    <row r="528" spans="3:3" ht="12.75" x14ac:dyDescent="0.2">
      <c r="C528" s="9"/>
    </row>
    <row r="529" spans="3:3" ht="12.75" x14ac:dyDescent="0.2">
      <c r="C529" s="9"/>
    </row>
    <row r="530" spans="3:3" ht="12.75" x14ac:dyDescent="0.2">
      <c r="C530" s="9"/>
    </row>
    <row r="531" spans="3:3" ht="12.75" x14ac:dyDescent="0.2">
      <c r="C531" s="9"/>
    </row>
    <row r="532" spans="3:3" ht="12.75" x14ac:dyDescent="0.2">
      <c r="C532" s="9"/>
    </row>
    <row r="533" spans="3:3" ht="12.75" x14ac:dyDescent="0.2">
      <c r="C533" s="9"/>
    </row>
    <row r="534" spans="3:3" ht="12.75" x14ac:dyDescent="0.2">
      <c r="C534" s="9"/>
    </row>
    <row r="535" spans="3:3" ht="12.75" x14ac:dyDescent="0.2">
      <c r="C535" s="9"/>
    </row>
    <row r="536" spans="3:3" ht="12.75" x14ac:dyDescent="0.2">
      <c r="C536" s="9"/>
    </row>
    <row r="537" spans="3:3" ht="12.75" x14ac:dyDescent="0.2">
      <c r="C537" s="9"/>
    </row>
    <row r="538" spans="3:3" ht="12.75" x14ac:dyDescent="0.2">
      <c r="C538" s="9"/>
    </row>
    <row r="539" spans="3:3" ht="12.75" x14ac:dyDescent="0.2">
      <c r="C539" s="9"/>
    </row>
    <row r="540" spans="3:3" ht="12.75" x14ac:dyDescent="0.2">
      <c r="C540" s="9"/>
    </row>
    <row r="541" spans="3:3" ht="12.75" x14ac:dyDescent="0.2">
      <c r="C541" s="9"/>
    </row>
    <row r="542" spans="3:3" ht="12.75" x14ac:dyDescent="0.2">
      <c r="C542" s="9"/>
    </row>
    <row r="543" spans="3:3" ht="12.75" x14ac:dyDescent="0.2">
      <c r="C543" s="9"/>
    </row>
    <row r="544" spans="3:3" ht="12.75" x14ac:dyDescent="0.2">
      <c r="C544" s="9"/>
    </row>
    <row r="545" spans="3:3" ht="12.75" x14ac:dyDescent="0.2">
      <c r="C545" s="9"/>
    </row>
    <row r="546" spans="3:3" ht="12.75" x14ac:dyDescent="0.2">
      <c r="C546" s="9"/>
    </row>
    <row r="547" spans="3:3" ht="12.75" x14ac:dyDescent="0.2">
      <c r="C547" s="9"/>
    </row>
    <row r="548" spans="3:3" ht="12.75" x14ac:dyDescent="0.2">
      <c r="C548" s="9"/>
    </row>
    <row r="549" spans="3:3" ht="12.75" x14ac:dyDescent="0.2">
      <c r="C549" s="9"/>
    </row>
    <row r="550" spans="3:3" ht="12.75" x14ac:dyDescent="0.2">
      <c r="C550" s="9"/>
    </row>
    <row r="551" spans="3:3" ht="12.75" x14ac:dyDescent="0.2">
      <c r="C551" s="9"/>
    </row>
    <row r="552" spans="3:3" ht="12.75" x14ac:dyDescent="0.2">
      <c r="C552" s="9"/>
    </row>
    <row r="553" spans="3:3" ht="12.75" x14ac:dyDescent="0.2">
      <c r="C553" s="9"/>
    </row>
    <row r="554" spans="3:3" ht="12.75" x14ac:dyDescent="0.2">
      <c r="C554" s="9"/>
    </row>
    <row r="555" spans="3:3" ht="12.75" x14ac:dyDescent="0.2">
      <c r="C555" s="9"/>
    </row>
    <row r="556" spans="3:3" ht="12.75" x14ac:dyDescent="0.2">
      <c r="C556" s="9"/>
    </row>
    <row r="557" spans="3:3" ht="12.75" x14ac:dyDescent="0.2">
      <c r="C557" s="9"/>
    </row>
    <row r="558" spans="3:3" ht="12.75" x14ac:dyDescent="0.2">
      <c r="C558" s="9"/>
    </row>
    <row r="559" spans="3:3" ht="12.75" x14ac:dyDescent="0.2">
      <c r="C559" s="9"/>
    </row>
    <row r="560" spans="3:3" ht="12.75" x14ac:dyDescent="0.2">
      <c r="C560" s="9"/>
    </row>
    <row r="561" spans="3:3" ht="12.75" x14ac:dyDescent="0.2">
      <c r="C561" s="9"/>
    </row>
    <row r="562" spans="3:3" ht="12.75" x14ac:dyDescent="0.2">
      <c r="C562" s="9"/>
    </row>
    <row r="563" spans="3:3" ht="12.75" x14ac:dyDescent="0.2">
      <c r="C563" s="9"/>
    </row>
    <row r="564" spans="3:3" ht="12.75" x14ac:dyDescent="0.2">
      <c r="C564" s="9"/>
    </row>
    <row r="565" spans="3:3" ht="12.75" x14ac:dyDescent="0.2">
      <c r="C565" s="9"/>
    </row>
    <row r="566" spans="3:3" ht="12.75" x14ac:dyDescent="0.2">
      <c r="C566" s="9"/>
    </row>
    <row r="567" spans="3:3" ht="12.75" x14ac:dyDescent="0.2">
      <c r="C567" s="9"/>
    </row>
    <row r="568" spans="3:3" ht="12.75" x14ac:dyDescent="0.2">
      <c r="C568" s="9"/>
    </row>
    <row r="569" spans="3:3" ht="12.75" x14ac:dyDescent="0.2">
      <c r="C569" s="9"/>
    </row>
    <row r="570" spans="3:3" ht="12.75" x14ac:dyDescent="0.2">
      <c r="C570" s="9"/>
    </row>
    <row r="571" spans="3:3" ht="12.75" x14ac:dyDescent="0.2">
      <c r="C571" s="9"/>
    </row>
    <row r="572" spans="3:3" ht="12.75" x14ac:dyDescent="0.2">
      <c r="C572" s="9"/>
    </row>
    <row r="573" spans="3:3" ht="12.75" x14ac:dyDescent="0.2">
      <c r="C573" s="9"/>
    </row>
    <row r="574" spans="3:3" ht="12.75" x14ac:dyDescent="0.2">
      <c r="C574" s="9"/>
    </row>
    <row r="575" spans="3:3" ht="12.75" x14ac:dyDescent="0.2">
      <c r="C575" s="9"/>
    </row>
    <row r="576" spans="3:3" ht="12.75" x14ac:dyDescent="0.2">
      <c r="C576" s="9"/>
    </row>
    <row r="577" spans="3:3" ht="12.75" x14ac:dyDescent="0.2">
      <c r="C577" s="9"/>
    </row>
    <row r="578" spans="3:3" ht="12.75" x14ac:dyDescent="0.2">
      <c r="C578" s="9"/>
    </row>
    <row r="579" spans="3:3" ht="12.75" x14ac:dyDescent="0.2">
      <c r="C579" s="9"/>
    </row>
    <row r="580" spans="3:3" ht="12.75" x14ac:dyDescent="0.2">
      <c r="C580" s="9"/>
    </row>
    <row r="581" spans="3:3" ht="12.75" x14ac:dyDescent="0.2">
      <c r="C581" s="9"/>
    </row>
    <row r="582" spans="3:3" ht="12.75" x14ac:dyDescent="0.2">
      <c r="C582" s="9"/>
    </row>
    <row r="583" spans="3:3" ht="12.75" x14ac:dyDescent="0.2">
      <c r="C583" s="9"/>
    </row>
    <row r="584" spans="3:3" ht="12.75" x14ac:dyDescent="0.2">
      <c r="C584" s="9"/>
    </row>
    <row r="585" spans="3:3" ht="12.75" x14ac:dyDescent="0.2">
      <c r="C585" s="9"/>
    </row>
    <row r="586" spans="3:3" ht="12.75" x14ac:dyDescent="0.2">
      <c r="C586" s="9"/>
    </row>
    <row r="587" spans="3:3" ht="12.75" x14ac:dyDescent="0.2">
      <c r="C587" s="9"/>
    </row>
    <row r="588" spans="3:3" ht="12.75" x14ac:dyDescent="0.2">
      <c r="C588" s="9"/>
    </row>
    <row r="589" spans="3:3" ht="12.75" x14ac:dyDescent="0.2">
      <c r="C589" s="9"/>
    </row>
    <row r="590" spans="3:3" ht="12.75" x14ac:dyDescent="0.2">
      <c r="C590" s="9"/>
    </row>
    <row r="591" spans="3:3" ht="12.75" x14ac:dyDescent="0.2">
      <c r="C591" s="9"/>
    </row>
    <row r="592" spans="3:3" ht="12.75" x14ac:dyDescent="0.2">
      <c r="C592" s="9"/>
    </row>
    <row r="593" spans="3:3" ht="12.75" x14ac:dyDescent="0.2">
      <c r="C593" s="9"/>
    </row>
    <row r="594" spans="3:3" ht="12.75" x14ac:dyDescent="0.2">
      <c r="C594" s="9"/>
    </row>
    <row r="595" spans="3:3" ht="12.75" x14ac:dyDescent="0.2">
      <c r="C595" s="9"/>
    </row>
    <row r="596" spans="3:3" ht="12.75" x14ac:dyDescent="0.2">
      <c r="C596" s="9"/>
    </row>
    <row r="597" spans="3:3" ht="12.75" x14ac:dyDescent="0.2">
      <c r="C597" s="9"/>
    </row>
    <row r="598" spans="3:3" ht="12.75" x14ac:dyDescent="0.2">
      <c r="C598" s="9"/>
    </row>
    <row r="599" spans="3:3" ht="12.75" x14ac:dyDescent="0.2">
      <c r="C599" s="9"/>
    </row>
    <row r="600" spans="3:3" ht="12.75" x14ac:dyDescent="0.2">
      <c r="C600" s="9"/>
    </row>
    <row r="601" spans="3:3" ht="12.75" x14ac:dyDescent="0.2">
      <c r="C601" s="9"/>
    </row>
    <row r="602" spans="3:3" ht="12.75" x14ac:dyDescent="0.2">
      <c r="C602" s="9"/>
    </row>
    <row r="603" spans="3:3" ht="12.75" x14ac:dyDescent="0.2">
      <c r="C603" s="9"/>
    </row>
    <row r="604" spans="3:3" ht="12.75" x14ac:dyDescent="0.2">
      <c r="C604" s="9"/>
    </row>
    <row r="605" spans="3:3" ht="12.75" x14ac:dyDescent="0.2">
      <c r="C605" s="9"/>
    </row>
    <row r="606" spans="3:3" ht="12.75" x14ac:dyDescent="0.2">
      <c r="C606" s="9"/>
    </row>
    <row r="607" spans="3:3" ht="12.75" x14ac:dyDescent="0.2">
      <c r="C607" s="9"/>
    </row>
    <row r="608" spans="3:3" ht="12.75" x14ac:dyDescent="0.2">
      <c r="C608" s="9"/>
    </row>
    <row r="609" spans="3:3" ht="12.75" x14ac:dyDescent="0.2">
      <c r="C609" s="9"/>
    </row>
    <row r="610" spans="3:3" ht="12.75" x14ac:dyDescent="0.2">
      <c r="C610" s="9"/>
    </row>
    <row r="611" spans="3:3" ht="12.75" x14ac:dyDescent="0.2">
      <c r="C611" s="9"/>
    </row>
    <row r="612" spans="3:3" ht="12.75" x14ac:dyDescent="0.2">
      <c r="C612" s="9"/>
    </row>
    <row r="613" spans="3:3" ht="12.75" x14ac:dyDescent="0.2">
      <c r="C613" s="9"/>
    </row>
    <row r="614" spans="3:3" ht="12.75" x14ac:dyDescent="0.2">
      <c r="C614" s="9"/>
    </row>
    <row r="615" spans="3:3" ht="12.75" x14ac:dyDescent="0.2">
      <c r="C615" s="9"/>
    </row>
    <row r="616" spans="3:3" ht="12.75" x14ac:dyDescent="0.2">
      <c r="C616" s="9"/>
    </row>
    <row r="617" spans="3:3" ht="12.75" x14ac:dyDescent="0.2">
      <c r="C617" s="9"/>
    </row>
    <row r="618" spans="3:3" ht="12.75" x14ac:dyDescent="0.2">
      <c r="C618" s="9"/>
    </row>
    <row r="619" spans="3:3" ht="12.75" x14ac:dyDescent="0.2">
      <c r="C619" s="9"/>
    </row>
    <row r="620" spans="3:3" ht="12.75" x14ac:dyDescent="0.2">
      <c r="C620" s="9"/>
    </row>
    <row r="621" spans="3:3" ht="12.75" x14ac:dyDescent="0.2">
      <c r="C621" s="9"/>
    </row>
    <row r="622" spans="3:3" ht="12.75" x14ac:dyDescent="0.2">
      <c r="C622" s="9"/>
    </row>
    <row r="623" spans="3:3" ht="12.75" x14ac:dyDescent="0.2">
      <c r="C623" s="9"/>
    </row>
    <row r="624" spans="3:3" ht="12.75" x14ac:dyDescent="0.2">
      <c r="C624" s="9"/>
    </row>
    <row r="625" spans="3:3" ht="12.75" x14ac:dyDescent="0.2">
      <c r="C625" s="9"/>
    </row>
    <row r="626" spans="3:3" ht="12.75" x14ac:dyDescent="0.2">
      <c r="C626" s="9"/>
    </row>
    <row r="627" spans="3:3" ht="12.75" x14ac:dyDescent="0.2">
      <c r="C627" s="9"/>
    </row>
    <row r="628" spans="3:3" ht="12.75" x14ac:dyDescent="0.2">
      <c r="C628" s="9"/>
    </row>
    <row r="629" spans="3:3" ht="12.75" x14ac:dyDescent="0.2">
      <c r="C629" s="9"/>
    </row>
    <row r="630" spans="3:3" ht="12.75" x14ac:dyDescent="0.2">
      <c r="C630" s="9"/>
    </row>
    <row r="631" spans="3:3" ht="12.75" x14ac:dyDescent="0.2">
      <c r="C631" s="9"/>
    </row>
    <row r="632" spans="3:3" ht="12.75" x14ac:dyDescent="0.2">
      <c r="C632" s="9"/>
    </row>
    <row r="633" spans="3:3" ht="12.75" x14ac:dyDescent="0.2">
      <c r="C633" s="9"/>
    </row>
    <row r="634" spans="3:3" ht="12.75" x14ac:dyDescent="0.2">
      <c r="C634" s="9"/>
    </row>
    <row r="635" spans="3:3" ht="12.75" x14ac:dyDescent="0.2">
      <c r="C635" s="9"/>
    </row>
    <row r="636" spans="3:3" ht="12.75" x14ac:dyDescent="0.2">
      <c r="C636" s="9"/>
    </row>
    <row r="637" spans="3:3" ht="12.75" x14ac:dyDescent="0.2">
      <c r="C637" s="9"/>
    </row>
    <row r="638" spans="3:3" ht="12.75" x14ac:dyDescent="0.2">
      <c r="C638" s="9"/>
    </row>
    <row r="639" spans="3:3" ht="12.75" x14ac:dyDescent="0.2">
      <c r="C639" s="9"/>
    </row>
    <row r="640" spans="3:3" ht="12.75" x14ac:dyDescent="0.2">
      <c r="C640" s="9"/>
    </row>
    <row r="641" spans="3:3" ht="12.75" x14ac:dyDescent="0.2">
      <c r="C641" s="9"/>
    </row>
    <row r="642" spans="3:3" ht="12.75" x14ac:dyDescent="0.2">
      <c r="C642" s="9"/>
    </row>
    <row r="643" spans="3:3" ht="12.75" x14ac:dyDescent="0.2">
      <c r="C643" s="9"/>
    </row>
    <row r="644" spans="3:3" ht="12.75" x14ac:dyDescent="0.2">
      <c r="C644" s="9"/>
    </row>
    <row r="645" spans="3:3" ht="12.75" x14ac:dyDescent="0.2">
      <c r="C645" s="9"/>
    </row>
    <row r="646" spans="3:3" ht="12.75" x14ac:dyDescent="0.2">
      <c r="C646" s="9"/>
    </row>
    <row r="647" spans="3:3" ht="12.75" x14ac:dyDescent="0.2">
      <c r="C647" s="9"/>
    </row>
    <row r="648" spans="3:3" ht="12.75" x14ac:dyDescent="0.2">
      <c r="C648" s="9"/>
    </row>
    <row r="649" spans="3:3" ht="12.75" x14ac:dyDescent="0.2">
      <c r="C649" s="9"/>
    </row>
    <row r="650" spans="3:3" ht="12.75" x14ac:dyDescent="0.2">
      <c r="C650" s="9"/>
    </row>
    <row r="651" spans="3:3" ht="12.75" x14ac:dyDescent="0.2">
      <c r="C651" s="9"/>
    </row>
    <row r="652" spans="3:3" ht="12.75" x14ac:dyDescent="0.2">
      <c r="C652" s="9"/>
    </row>
    <row r="653" spans="3:3" ht="12.75" x14ac:dyDescent="0.2">
      <c r="C653" s="9"/>
    </row>
    <row r="654" spans="3:3" ht="12.75" x14ac:dyDescent="0.2">
      <c r="C654" s="9"/>
    </row>
    <row r="655" spans="3:3" ht="12.75" x14ac:dyDescent="0.2">
      <c r="C655" s="9"/>
    </row>
    <row r="656" spans="3:3" ht="12.75" x14ac:dyDescent="0.2">
      <c r="C656" s="9"/>
    </row>
    <row r="657" spans="3:3" ht="12.75" x14ac:dyDescent="0.2">
      <c r="C657" s="9"/>
    </row>
    <row r="658" spans="3:3" ht="12.75" x14ac:dyDescent="0.2">
      <c r="C658" s="9"/>
    </row>
    <row r="659" spans="3:3" ht="12.75" x14ac:dyDescent="0.2">
      <c r="C659" s="9"/>
    </row>
    <row r="660" spans="3:3" ht="12.75" x14ac:dyDescent="0.2">
      <c r="C660" s="9"/>
    </row>
    <row r="661" spans="3:3" ht="12.75" x14ac:dyDescent="0.2">
      <c r="C661" s="9"/>
    </row>
    <row r="662" spans="3:3" ht="12.75" x14ac:dyDescent="0.2">
      <c r="C662" s="9"/>
    </row>
    <row r="663" spans="3:3" ht="12.75" x14ac:dyDescent="0.2">
      <c r="C663" s="9"/>
    </row>
    <row r="664" spans="3:3" ht="12.75" x14ac:dyDescent="0.2">
      <c r="C664" s="9"/>
    </row>
    <row r="665" spans="3:3" ht="12.75" x14ac:dyDescent="0.2">
      <c r="C665" s="9"/>
    </row>
    <row r="666" spans="3:3" ht="12.75" x14ac:dyDescent="0.2">
      <c r="C666" s="9"/>
    </row>
    <row r="667" spans="3:3" ht="12.75" x14ac:dyDescent="0.2">
      <c r="C667" s="9"/>
    </row>
    <row r="668" spans="3:3" ht="12.75" x14ac:dyDescent="0.2">
      <c r="C668" s="9"/>
    </row>
    <row r="669" spans="3:3" ht="12.75" x14ac:dyDescent="0.2">
      <c r="C669" s="9"/>
    </row>
    <row r="670" spans="3:3" ht="12.75" x14ac:dyDescent="0.2">
      <c r="C670" s="9"/>
    </row>
    <row r="671" spans="3:3" ht="12.75" x14ac:dyDescent="0.2">
      <c r="C671" s="9"/>
    </row>
    <row r="672" spans="3:3" ht="12.75" x14ac:dyDescent="0.2">
      <c r="C672" s="9"/>
    </row>
    <row r="673" spans="3:3" ht="12.75" x14ac:dyDescent="0.2">
      <c r="C673" s="9"/>
    </row>
    <row r="674" spans="3:3" ht="12.75" x14ac:dyDescent="0.2">
      <c r="C674" s="9"/>
    </row>
    <row r="675" spans="3:3" ht="12.75" x14ac:dyDescent="0.2">
      <c r="C675" s="9"/>
    </row>
    <row r="676" spans="3:3" ht="12.75" x14ac:dyDescent="0.2">
      <c r="C676" s="9"/>
    </row>
    <row r="677" spans="3:3" ht="12.75" x14ac:dyDescent="0.2">
      <c r="C677" s="9"/>
    </row>
    <row r="678" spans="3:3" ht="12.75" x14ac:dyDescent="0.2">
      <c r="C678" s="9"/>
    </row>
    <row r="679" spans="3:3" ht="12.75" x14ac:dyDescent="0.2">
      <c r="C679" s="9"/>
    </row>
    <row r="680" spans="3:3" ht="12.75" x14ac:dyDescent="0.2">
      <c r="C680" s="9"/>
    </row>
    <row r="681" spans="3:3" ht="12.75" x14ac:dyDescent="0.2">
      <c r="C681" s="9"/>
    </row>
    <row r="682" spans="3:3" ht="12.75" x14ac:dyDescent="0.2">
      <c r="C682" s="9"/>
    </row>
    <row r="683" spans="3:3" ht="12.75" x14ac:dyDescent="0.2">
      <c r="C683" s="9"/>
    </row>
    <row r="684" spans="3:3" ht="12.75" x14ac:dyDescent="0.2">
      <c r="C684" s="9"/>
    </row>
    <row r="685" spans="3:3" ht="12.75" x14ac:dyDescent="0.2">
      <c r="C685" s="9"/>
    </row>
    <row r="686" spans="3:3" ht="12.75" x14ac:dyDescent="0.2">
      <c r="C686" s="9"/>
    </row>
    <row r="687" spans="3:3" ht="12.75" x14ac:dyDescent="0.2">
      <c r="C687" s="9"/>
    </row>
    <row r="688" spans="3:3" ht="12.75" x14ac:dyDescent="0.2">
      <c r="C688" s="9"/>
    </row>
    <row r="689" spans="3:3" ht="12.75" x14ac:dyDescent="0.2">
      <c r="C689" s="9"/>
    </row>
    <row r="690" spans="3:3" ht="12.75" x14ac:dyDescent="0.2">
      <c r="C690" s="9"/>
    </row>
    <row r="691" spans="3:3" ht="12.75" x14ac:dyDescent="0.2">
      <c r="C691" s="9"/>
    </row>
    <row r="692" spans="3:3" ht="12.75" x14ac:dyDescent="0.2">
      <c r="C692" s="9"/>
    </row>
    <row r="693" spans="3:3" ht="12.75" x14ac:dyDescent="0.2">
      <c r="C693" s="9"/>
    </row>
    <row r="694" spans="3:3" ht="12.75" x14ac:dyDescent="0.2">
      <c r="C694" s="9"/>
    </row>
    <row r="695" spans="3:3" ht="12.75" x14ac:dyDescent="0.2">
      <c r="C695" s="9"/>
    </row>
    <row r="696" spans="3:3" ht="12.75" x14ac:dyDescent="0.2">
      <c r="C696" s="9"/>
    </row>
    <row r="697" spans="3:3" ht="12.75" x14ac:dyDescent="0.2">
      <c r="C697" s="9"/>
    </row>
    <row r="698" spans="3:3" ht="12.75" x14ac:dyDescent="0.2">
      <c r="C698" s="9"/>
    </row>
    <row r="699" spans="3:3" ht="12.75" x14ac:dyDescent="0.2">
      <c r="C699" s="9"/>
    </row>
    <row r="700" spans="3:3" ht="12.75" x14ac:dyDescent="0.2">
      <c r="C700" s="9"/>
    </row>
    <row r="701" spans="3:3" ht="12.75" x14ac:dyDescent="0.2">
      <c r="C701" s="9"/>
    </row>
    <row r="702" spans="3:3" ht="12.75" x14ac:dyDescent="0.2">
      <c r="C702" s="9"/>
    </row>
    <row r="703" spans="3:3" ht="12.75" x14ac:dyDescent="0.2">
      <c r="C703" s="9"/>
    </row>
    <row r="704" spans="3:3" ht="12.75" x14ac:dyDescent="0.2">
      <c r="C704" s="9"/>
    </row>
    <row r="705" spans="3:3" ht="12.75" x14ac:dyDescent="0.2">
      <c r="C705" s="9"/>
    </row>
    <row r="706" spans="3:3" ht="12.75" x14ac:dyDescent="0.2">
      <c r="C706" s="9"/>
    </row>
    <row r="707" spans="3:3" ht="12.75" x14ac:dyDescent="0.2">
      <c r="C707" s="9"/>
    </row>
    <row r="708" spans="3:3" ht="12.75" x14ac:dyDescent="0.2">
      <c r="C708" s="9"/>
    </row>
    <row r="709" spans="3:3" ht="12.75" x14ac:dyDescent="0.2">
      <c r="C709" s="9"/>
    </row>
    <row r="710" spans="3:3" ht="12.75" x14ac:dyDescent="0.2">
      <c r="C710" s="9"/>
    </row>
    <row r="711" spans="3:3" ht="12.75" x14ac:dyDescent="0.2">
      <c r="C711" s="9"/>
    </row>
    <row r="712" spans="3:3" ht="12.75" x14ac:dyDescent="0.2">
      <c r="C712" s="9"/>
    </row>
    <row r="713" spans="3:3" ht="12.75" x14ac:dyDescent="0.2">
      <c r="C713" s="9"/>
    </row>
    <row r="714" spans="3:3" ht="12.75" x14ac:dyDescent="0.2">
      <c r="C714" s="9"/>
    </row>
    <row r="715" spans="3:3" ht="12.75" x14ac:dyDescent="0.2">
      <c r="C715" s="9"/>
    </row>
    <row r="716" spans="3:3" ht="12.75" x14ac:dyDescent="0.2">
      <c r="C716" s="9"/>
    </row>
    <row r="717" spans="3:3" ht="12.75" x14ac:dyDescent="0.2">
      <c r="C717" s="9"/>
    </row>
    <row r="718" spans="3:3" ht="12.75" x14ac:dyDescent="0.2">
      <c r="C718" s="9"/>
    </row>
    <row r="719" spans="3:3" ht="12.75" x14ac:dyDescent="0.2">
      <c r="C719" s="9"/>
    </row>
    <row r="720" spans="3:3" ht="12.75" x14ac:dyDescent="0.2">
      <c r="C720" s="9"/>
    </row>
    <row r="721" spans="3:3" ht="12.75" x14ac:dyDescent="0.2">
      <c r="C721" s="9"/>
    </row>
    <row r="722" spans="3:3" ht="12.75" x14ac:dyDescent="0.2">
      <c r="C722" s="9"/>
    </row>
    <row r="723" spans="3:3" ht="12.75" x14ac:dyDescent="0.2">
      <c r="C723" s="9"/>
    </row>
    <row r="724" spans="3:3" ht="12.75" x14ac:dyDescent="0.2">
      <c r="C724" s="9"/>
    </row>
    <row r="725" spans="3:3" ht="12.75" x14ac:dyDescent="0.2">
      <c r="C725" s="9"/>
    </row>
    <row r="726" spans="3:3" ht="12.75" x14ac:dyDescent="0.2">
      <c r="C726" s="9"/>
    </row>
    <row r="727" spans="3:3" ht="12.75" x14ac:dyDescent="0.2">
      <c r="C727" s="9"/>
    </row>
    <row r="728" spans="3:3" ht="12.75" x14ac:dyDescent="0.2">
      <c r="C728" s="9"/>
    </row>
    <row r="729" spans="3:3" ht="12.75" x14ac:dyDescent="0.2">
      <c r="C729" s="9"/>
    </row>
    <row r="730" spans="3:3" ht="12.75" x14ac:dyDescent="0.2">
      <c r="C730" s="9"/>
    </row>
    <row r="731" spans="3:3" ht="12.75" x14ac:dyDescent="0.2">
      <c r="C731" s="9"/>
    </row>
    <row r="732" spans="3:3" ht="12.75" x14ac:dyDescent="0.2">
      <c r="C732" s="9"/>
    </row>
    <row r="733" spans="3:3" ht="12.75" x14ac:dyDescent="0.2">
      <c r="C733" s="9"/>
    </row>
    <row r="734" spans="3:3" ht="12.75" x14ac:dyDescent="0.2">
      <c r="C734" s="9"/>
    </row>
    <row r="735" spans="3:3" ht="12.75" x14ac:dyDescent="0.2">
      <c r="C735" s="9"/>
    </row>
    <row r="736" spans="3:3" ht="12.75" x14ac:dyDescent="0.2">
      <c r="C736" s="9"/>
    </row>
    <row r="737" spans="3:3" ht="12.75" x14ac:dyDescent="0.2">
      <c r="C737" s="9"/>
    </row>
    <row r="738" spans="3:3" ht="12.75" x14ac:dyDescent="0.2">
      <c r="C738" s="9"/>
    </row>
    <row r="739" spans="3:3" ht="12.75" x14ac:dyDescent="0.2">
      <c r="C739" s="9"/>
    </row>
    <row r="740" spans="3:3" ht="12.75" x14ac:dyDescent="0.2">
      <c r="C740" s="9"/>
    </row>
    <row r="741" spans="3:3" ht="12.75" x14ac:dyDescent="0.2">
      <c r="C741" s="9"/>
    </row>
    <row r="742" spans="3:3" ht="12.75" x14ac:dyDescent="0.2">
      <c r="C742" s="9"/>
    </row>
    <row r="743" spans="3:3" ht="12.75" x14ac:dyDescent="0.2">
      <c r="C743" s="9"/>
    </row>
    <row r="744" spans="3:3" ht="12.75" x14ac:dyDescent="0.2">
      <c r="C744" s="9"/>
    </row>
    <row r="745" spans="3:3" ht="12.75" x14ac:dyDescent="0.2">
      <c r="C745" s="9"/>
    </row>
    <row r="746" spans="3:3" ht="12.75" x14ac:dyDescent="0.2">
      <c r="C746" s="9"/>
    </row>
    <row r="747" spans="3:3" ht="12.75" x14ac:dyDescent="0.2">
      <c r="C747" s="9"/>
    </row>
    <row r="748" spans="3:3" ht="12.75" x14ac:dyDescent="0.2">
      <c r="C748" s="9"/>
    </row>
    <row r="749" spans="3:3" ht="12.75" x14ac:dyDescent="0.2">
      <c r="C749" s="9"/>
    </row>
    <row r="750" spans="3:3" ht="12.75" x14ac:dyDescent="0.2">
      <c r="C750" s="9"/>
    </row>
    <row r="751" spans="3:3" ht="12.75" x14ac:dyDescent="0.2">
      <c r="C751" s="9"/>
    </row>
    <row r="752" spans="3:3" ht="12.75" x14ac:dyDescent="0.2">
      <c r="C752" s="9"/>
    </row>
    <row r="753" spans="3:3" ht="12.75" x14ac:dyDescent="0.2">
      <c r="C753" s="9"/>
    </row>
    <row r="754" spans="3:3" ht="12.75" x14ac:dyDescent="0.2">
      <c r="C754" s="9"/>
    </row>
    <row r="755" spans="3:3" ht="12.75" x14ac:dyDescent="0.2">
      <c r="C755" s="9"/>
    </row>
    <row r="756" spans="3:3" ht="12.75" x14ac:dyDescent="0.2">
      <c r="C756" s="9"/>
    </row>
    <row r="757" spans="3:3" ht="12.75" x14ac:dyDescent="0.2">
      <c r="C757" s="9"/>
    </row>
    <row r="758" spans="3:3" ht="12.75" x14ac:dyDescent="0.2">
      <c r="C758" s="9"/>
    </row>
    <row r="759" spans="3:3" ht="12.75" x14ac:dyDescent="0.2">
      <c r="C759" s="9"/>
    </row>
    <row r="760" spans="3:3" ht="12.75" x14ac:dyDescent="0.2">
      <c r="C760" s="9"/>
    </row>
    <row r="761" spans="3:3" ht="12.75" x14ac:dyDescent="0.2">
      <c r="C761" s="9"/>
    </row>
    <row r="762" spans="3:3" ht="12.75" x14ac:dyDescent="0.2">
      <c r="C762" s="9"/>
    </row>
    <row r="763" spans="3:3" ht="12.75" x14ac:dyDescent="0.2">
      <c r="C763" s="9"/>
    </row>
    <row r="764" spans="3:3" ht="12.75" x14ac:dyDescent="0.2">
      <c r="C764" s="9"/>
    </row>
    <row r="765" spans="3:3" ht="12.75" x14ac:dyDescent="0.2">
      <c r="C765" s="9"/>
    </row>
    <row r="766" spans="3:3" ht="12.75" x14ac:dyDescent="0.2">
      <c r="C766" s="9"/>
    </row>
    <row r="767" spans="3:3" ht="12.75" x14ac:dyDescent="0.2">
      <c r="C767" s="9"/>
    </row>
    <row r="768" spans="3:3" ht="12.75" x14ac:dyDescent="0.2">
      <c r="C768" s="9"/>
    </row>
    <row r="769" spans="3:3" ht="12.75" x14ac:dyDescent="0.2">
      <c r="C769" s="9"/>
    </row>
    <row r="770" spans="3:3" ht="12.75" x14ac:dyDescent="0.2">
      <c r="C770" s="9"/>
    </row>
    <row r="771" spans="3:3" ht="12.75" x14ac:dyDescent="0.2">
      <c r="C771" s="9"/>
    </row>
    <row r="772" spans="3:3" ht="12.75" x14ac:dyDescent="0.2">
      <c r="C772" s="9"/>
    </row>
    <row r="773" spans="3:3" ht="12.75" x14ac:dyDescent="0.2">
      <c r="C773" s="9"/>
    </row>
    <row r="774" spans="3:3" ht="12.75" x14ac:dyDescent="0.2">
      <c r="C774" s="9"/>
    </row>
    <row r="775" spans="3:3" ht="12.75" x14ac:dyDescent="0.2">
      <c r="C775" s="9"/>
    </row>
    <row r="776" spans="3:3" ht="12.75" x14ac:dyDescent="0.2">
      <c r="C776" s="9"/>
    </row>
    <row r="777" spans="3:3" ht="12.75" x14ac:dyDescent="0.2">
      <c r="C777" s="9"/>
    </row>
    <row r="778" spans="3:3" ht="12.75" x14ac:dyDescent="0.2">
      <c r="C778" s="9"/>
    </row>
    <row r="779" spans="3:3" ht="12.75" x14ac:dyDescent="0.2">
      <c r="C779" s="9"/>
    </row>
    <row r="780" spans="3:3" ht="12.75" x14ac:dyDescent="0.2">
      <c r="C780" s="9"/>
    </row>
    <row r="781" spans="3:3" ht="12.75" x14ac:dyDescent="0.2">
      <c r="C781" s="9"/>
    </row>
    <row r="782" spans="3:3" ht="12.75" x14ac:dyDescent="0.2">
      <c r="C782" s="9"/>
    </row>
    <row r="783" spans="3:3" ht="12.75" x14ac:dyDescent="0.2">
      <c r="C783" s="9"/>
    </row>
    <row r="784" spans="3:3" ht="12.75" x14ac:dyDescent="0.2">
      <c r="C784" s="9"/>
    </row>
    <row r="785" spans="3:3" ht="12.75" x14ac:dyDescent="0.2">
      <c r="C785" s="9"/>
    </row>
    <row r="786" spans="3:3" ht="12.75" x14ac:dyDescent="0.2">
      <c r="C786" s="9"/>
    </row>
    <row r="787" spans="3:3" ht="12.75" x14ac:dyDescent="0.2">
      <c r="C787" s="9"/>
    </row>
    <row r="788" spans="3:3" ht="12.75" x14ac:dyDescent="0.2">
      <c r="C788" s="9"/>
    </row>
    <row r="789" spans="3:3" ht="12.75" x14ac:dyDescent="0.2">
      <c r="C789" s="9"/>
    </row>
    <row r="790" spans="3:3" ht="12.75" x14ac:dyDescent="0.2">
      <c r="C790" s="9"/>
    </row>
    <row r="791" spans="3:3" ht="12.75" x14ac:dyDescent="0.2">
      <c r="C791" s="9"/>
    </row>
    <row r="792" spans="3:3" ht="12.75" x14ac:dyDescent="0.2">
      <c r="C792" s="9"/>
    </row>
    <row r="793" spans="3:3" ht="12.75" x14ac:dyDescent="0.2">
      <c r="C793" s="9"/>
    </row>
    <row r="794" spans="3:3" ht="12.75" x14ac:dyDescent="0.2">
      <c r="C794" s="9"/>
    </row>
    <row r="795" spans="3:3" ht="12.75" x14ac:dyDescent="0.2">
      <c r="C795" s="9"/>
    </row>
    <row r="796" spans="3:3" ht="12.75" x14ac:dyDescent="0.2">
      <c r="C796" s="9"/>
    </row>
    <row r="797" spans="3:3" ht="12.75" x14ac:dyDescent="0.2">
      <c r="C797" s="9"/>
    </row>
    <row r="798" spans="3:3" ht="12.75" x14ac:dyDescent="0.2">
      <c r="C798" s="9"/>
    </row>
    <row r="799" spans="3:3" ht="12.75" x14ac:dyDescent="0.2">
      <c r="C799" s="9"/>
    </row>
    <row r="800" spans="3:3" ht="12.75" x14ac:dyDescent="0.2">
      <c r="C800" s="9"/>
    </row>
    <row r="801" spans="3:3" ht="12.75" x14ac:dyDescent="0.2">
      <c r="C801" s="9"/>
    </row>
    <row r="802" spans="3:3" ht="12.75" x14ac:dyDescent="0.2">
      <c r="C802" s="9"/>
    </row>
    <row r="803" spans="3:3" ht="12.75" x14ac:dyDescent="0.2">
      <c r="C803" s="9"/>
    </row>
    <row r="804" spans="3:3" ht="12.75" x14ac:dyDescent="0.2">
      <c r="C804" s="9"/>
    </row>
    <row r="805" spans="3:3" ht="12.75" x14ac:dyDescent="0.2">
      <c r="C805" s="9"/>
    </row>
    <row r="806" spans="3:3" ht="12.75" x14ac:dyDescent="0.2">
      <c r="C806" s="9"/>
    </row>
    <row r="807" spans="3:3" ht="12.75" x14ac:dyDescent="0.2">
      <c r="C807" s="9"/>
    </row>
    <row r="808" spans="3:3" ht="12.75" x14ac:dyDescent="0.2">
      <c r="C808" s="9"/>
    </row>
    <row r="809" spans="3:3" ht="12.75" x14ac:dyDescent="0.2">
      <c r="C809" s="9"/>
    </row>
    <row r="810" spans="3:3" ht="12.75" x14ac:dyDescent="0.2">
      <c r="C810" s="9"/>
    </row>
    <row r="811" spans="3:3" ht="12.75" x14ac:dyDescent="0.2">
      <c r="C811" s="9"/>
    </row>
    <row r="812" spans="3:3" ht="12.75" x14ac:dyDescent="0.2">
      <c r="C812" s="9"/>
    </row>
    <row r="813" spans="3:3" ht="12.75" x14ac:dyDescent="0.2">
      <c r="C813" s="9"/>
    </row>
    <row r="814" spans="3:3" ht="12.75" x14ac:dyDescent="0.2">
      <c r="C814" s="9"/>
    </row>
    <row r="815" spans="3:3" ht="12.75" x14ac:dyDescent="0.2">
      <c r="C815" s="9"/>
    </row>
    <row r="816" spans="3:3" ht="12.75" x14ac:dyDescent="0.2">
      <c r="C816" s="9"/>
    </row>
    <row r="817" spans="3:3" ht="12.75" x14ac:dyDescent="0.2">
      <c r="C817" s="9"/>
    </row>
    <row r="818" spans="3:3" ht="12.75" x14ac:dyDescent="0.2">
      <c r="C818" s="9"/>
    </row>
    <row r="819" spans="3:3" ht="12.75" x14ac:dyDescent="0.2">
      <c r="C819" s="9"/>
    </row>
    <row r="820" spans="3:3" ht="12.75" x14ac:dyDescent="0.2">
      <c r="C820" s="9"/>
    </row>
    <row r="821" spans="3:3" ht="12.75" x14ac:dyDescent="0.2">
      <c r="C821" s="9"/>
    </row>
    <row r="822" spans="3:3" ht="12.75" x14ac:dyDescent="0.2">
      <c r="C822" s="9"/>
    </row>
    <row r="823" spans="3:3" ht="12.75" x14ac:dyDescent="0.2">
      <c r="C823" s="9"/>
    </row>
    <row r="824" spans="3:3" ht="12.75" x14ac:dyDescent="0.2">
      <c r="C824" s="9"/>
    </row>
    <row r="825" spans="3:3" ht="12.75" x14ac:dyDescent="0.2">
      <c r="C825" s="9"/>
    </row>
    <row r="826" spans="3:3" ht="12.75" x14ac:dyDescent="0.2">
      <c r="C826" s="9"/>
    </row>
    <row r="827" spans="3:3" ht="12.75" x14ac:dyDescent="0.2">
      <c r="C827" s="9"/>
    </row>
    <row r="828" spans="3:3" ht="12.75" x14ac:dyDescent="0.2">
      <c r="C828" s="9"/>
    </row>
    <row r="829" spans="3:3" ht="12.75" x14ac:dyDescent="0.2">
      <c r="C829" s="9"/>
    </row>
    <row r="830" spans="3:3" ht="12.75" x14ac:dyDescent="0.2">
      <c r="C830" s="9"/>
    </row>
    <row r="831" spans="3:3" ht="12.75" x14ac:dyDescent="0.2">
      <c r="C831" s="9"/>
    </row>
    <row r="832" spans="3:3" ht="12.75" x14ac:dyDescent="0.2">
      <c r="C832" s="9"/>
    </row>
    <row r="833" spans="3:3" ht="12.75" x14ac:dyDescent="0.2">
      <c r="C833" s="9"/>
    </row>
    <row r="834" spans="3:3" ht="12.75" x14ac:dyDescent="0.2">
      <c r="C834" s="9"/>
    </row>
    <row r="835" spans="3:3" ht="12.75" x14ac:dyDescent="0.2">
      <c r="C835" s="9"/>
    </row>
    <row r="836" spans="3:3" ht="12.75" x14ac:dyDescent="0.2">
      <c r="C836" s="9"/>
    </row>
    <row r="837" spans="3:3" ht="12.75" x14ac:dyDescent="0.2">
      <c r="C837" s="9"/>
    </row>
    <row r="838" spans="3:3" ht="12.75" x14ac:dyDescent="0.2">
      <c r="C838" s="9"/>
    </row>
    <row r="839" spans="3:3" ht="12.75" x14ac:dyDescent="0.2">
      <c r="C839" s="9"/>
    </row>
    <row r="840" spans="3:3" ht="12.75" x14ac:dyDescent="0.2">
      <c r="C840" s="9"/>
    </row>
    <row r="841" spans="3:3" ht="12.75" x14ac:dyDescent="0.2">
      <c r="C841" s="9"/>
    </row>
    <row r="842" spans="3:3" ht="12.75" x14ac:dyDescent="0.2">
      <c r="C842" s="9"/>
    </row>
    <row r="843" spans="3:3" ht="12.75" x14ac:dyDescent="0.2">
      <c r="C843" s="9"/>
    </row>
    <row r="844" spans="3:3" ht="12.75" x14ac:dyDescent="0.2">
      <c r="C844" s="9"/>
    </row>
    <row r="845" spans="3:3" ht="12.75" x14ac:dyDescent="0.2">
      <c r="C845" s="9"/>
    </row>
    <row r="846" spans="3:3" ht="12.75" x14ac:dyDescent="0.2">
      <c r="C846" s="9"/>
    </row>
    <row r="847" spans="3:3" ht="12.75" x14ac:dyDescent="0.2">
      <c r="C847" s="9"/>
    </row>
    <row r="848" spans="3:3" ht="12.75" x14ac:dyDescent="0.2">
      <c r="C848" s="9"/>
    </row>
    <row r="849" spans="3:3" ht="12.75" x14ac:dyDescent="0.2">
      <c r="C849" s="9"/>
    </row>
    <row r="850" spans="3:3" ht="12.75" x14ac:dyDescent="0.2">
      <c r="C850" s="9"/>
    </row>
    <row r="851" spans="3:3" ht="12.75" x14ac:dyDescent="0.2">
      <c r="C851" s="9"/>
    </row>
    <row r="852" spans="3:3" ht="12.75" x14ac:dyDescent="0.2">
      <c r="C852" s="9"/>
    </row>
    <row r="853" spans="3:3" ht="12.75" x14ac:dyDescent="0.2">
      <c r="C853" s="9"/>
    </row>
    <row r="854" spans="3:3" ht="12.75" x14ac:dyDescent="0.2">
      <c r="C854" s="9"/>
    </row>
    <row r="855" spans="3:3" ht="12.75" x14ac:dyDescent="0.2">
      <c r="C855" s="9"/>
    </row>
    <row r="856" spans="3:3" ht="12.75" x14ac:dyDescent="0.2">
      <c r="C856" s="9"/>
    </row>
    <row r="857" spans="3:3" ht="12.75" x14ac:dyDescent="0.2">
      <c r="C857" s="9"/>
    </row>
    <row r="858" spans="3:3" ht="12.75" x14ac:dyDescent="0.2">
      <c r="C858" s="9"/>
    </row>
    <row r="859" spans="3:3" ht="12.75" x14ac:dyDescent="0.2">
      <c r="C859" s="9"/>
    </row>
    <row r="860" spans="3:3" ht="12.75" x14ac:dyDescent="0.2">
      <c r="C860" s="9"/>
    </row>
    <row r="861" spans="3:3" ht="12.75" x14ac:dyDescent="0.2">
      <c r="C861" s="9"/>
    </row>
    <row r="862" spans="3:3" ht="12.75" x14ac:dyDescent="0.2">
      <c r="C862" s="9"/>
    </row>
    <row r="863" spans="3:3" ht="12.75" x14ac:dyDescent="0.2">
      <c r="C863" s="9"/>
    </row>
    <row r="864" spans="3:3" ht="12.75" x14ac:dyDescent="0.2">
      <c r="C864" s="9"/>
    </row>
    <row r="865" spans="3:3" ht="12.75" x14ac:dyDescent="0.2">
      <c r="C865" s="9"/>
    </row>
    <row r="866" spans="3:3" ht="12.75" x14ac:dyDescent="0.2">
      <c r="C866" s="9"/>
    </row>
    <row r="867" spans="3:3" ht="12.75" x14ac:dyDescent="0.2">
      <c r="C867" s="9"/>
    </row>
    <row r="868" spans="3:3" ht="12.75" x14ac:dyDescent="0.2">
      <c r="C868" s="9"/>
    </row>
    <row r="869" spans="3:3" ht="12.75" x14ac:dyDescent="0.2">
      <c r="C869" s="9"/>
    </row>
    <row r="870" spans="3:3" ht="12.75" x14ac:dyDescent="0.2">
      <c r="C870" s="9"/>
    </row>
    <row r="871" spans="3:3" ht="12.75" x14ac:dyDescent="0.2">
      <c r="C871" s="9"/>
    </row>
    <row r="872" spans="3:3" ht="12.75" x14ac:dyDescent="0.2">
      <c r="C872" s="9"/>
    </row>
    <row r="873" spans="3:3" ht="12.75" x14ac:dyDescent="0.2">
      <c r="C873" s="9"/>
    </row>
    <row r="874" spans="3:3" ht="12.75" x14ac:dyDescent="0.2">
      <c r="C874" s="9"/>
    </row>
    <row r="875" spans="3:3" ht="12.75" x14ac:dyDescent="0.2">
      <c r="C875" s="9"/>
    </row>
    <row r="876" spans="3:3" ht="12.75" x14ac:dyDescent="0.2">
      <c r="C876" s="9"/>
    </row>
    <row r="877" spans="3:3" ht="12.75" x14ac:dyDescent="0.2">
      <c r="C877" s="9"/>
    </row>
    <row r="878" spans="3:3" ht="12.75" x14ac:dyDescent="0.2">
      <c r="C878" s="9"/>
    </row>
    <row r="879" spans="3:3" ht="12.75" x14ac:dyDescent="0.2">
      <c r="C879" s="9"/>
    </row>
    <row r="880" spans="3:3" ht="12.75" x14ac:dyDescent="0.2">
      <c r="C880" s="9"/>
    </row>
    <row r="881" spans="3:3" ht="12.75" x14ac:dyDescent="0.2">
      <c r="C881" s="9"/>
    </row>
    <row r="882" spans="3:3" ht="12.75" x14ac:dyDescent="0.2">
      <c r="C882" s="9"/>
    </row>
    <row r="883" spans="3:3" ht="12.75" x14ac:dyDescent="0.2">
      <c r="C883" s="9"/>
    </row>
    <row r="884" spans="3:3" ht="12.75" x14ac:dyDescent="0.2">
      <c r="C884" s="9"/>
    </row>
    <row r="885" spans="3:3" ht="12.75" x14ac:dyDescent="0.2">
      <c r="C885" s="9"/>
    </row>
    <row r="886" spans="3:3" ht="12.75" x14ac:dyDescent="0.2">
      <c r="C886" s="9"/>
    </row>
    <row r="887" spans="3:3" ht="12.75" x14ac:dyDescent="0.2">
      <c r="C887" s="9"/>
    </row>
    <row r="888" spans="3:3" ht="12.75" x14ac:dyDescent="0.2">
      <c r="C888" s="9"/>
    </row>
    <row r="889" spans="3:3" ht="12.75" x14ac:dyDescent="0.2">
      <c r="C889" s="9"/>
    </row>
    <row r="890" spans="3:3" ht="12.75" x14ac:dyDescent="0.2">
      <c r="C890" s="9"/>
    </row>
    <row r="891" spans="3:3" ht="12.75" x14ac:dyDescent="0.2">
      <c r="C891" s="9"/>
    </row>
    <row r="892" spans="3:3" ht="12.75" x14ac:dyDescent="0.2">
      <c r="C892" s="9"/>
    </row>
    <row r="893" spans="3:3" ht="12.75" x14ac:dyDescent="0.2">
      <c r="C893" s="9"/>
    </row>
    <row r="894" spans="3:3" ht="12.75" x14ac:dyDescent="0.2">
      <c r="C894" s="9"/>
    </row>
    <row r="895" spans="3:3" ht="12.75" x14ac:dyDescent="0.2">
      <c r="C895" s="9"/>
    </row>
    <row r="896" spans="3:3" ht="12.75" x14ac:dyDescent="0.2">
      <c r="C896" s="9"/>
    </row>
    <row r="897" spans="3:3" ht="12.75" x14ac:dyDescent="0.2">
      <c r="C897" s="9"/>
    </row>
    <row r="898" spans="3:3" ht="12.75" x14ac:dyDescent="0.2">
      <c r="C898" s="9"/>
    </row>
    <row r="899" spans="3:3" ht="12.75" x14ac:dyDescent="0.2">
      <c r="C899" s="9"/>
    </row>
    <row r="900" spans="3:3" ht="12.75" x14ac:dyDescent="0.2">
      <c r="C900" s="9"/>
    </row>
    <row r="901" spans="3:3" ht="12.75" x14ac:dyDescent="0.2">
      <c r="C901" s="9"/>
    </row>
    <row r="902" spans="3:3" ht="12.75" x14ac:dyDescent="0.2">
      <c r="C902" s="9"/>
    </row>
    <row r="903" spans="3:3" ht="12.75" x14ac:dyDescent="0.2">
      <c r="C903" s="9"/>
    </row>
    <row r="904" spans="3:3" ht="12.75" x14ac:dyDescent="0.2">
      <c r="C904" s="9"/>
    </row>
    <row r="905" spans="3:3" ht="12.75" x14ac:dyDescent="0.2">
      <c r="C905" s="9"/>
    </row>
    <row r="906" spans="3:3" ht="12.75" x14ac:dyDescent="0.2">
      <c r="C906" s="9"/>
    </row>
    <row r="907" spans="3:3" ht="12.75" x14ac:dyDescent="0.2">
      <c r="C907" s="9"/>
    </row>
    <row r="908" spans="3:3" ht="12.75" x14ac:dyDescent="0.2">
      <c r="C908" s="9"/>
    </row>
    <row r="909" spans="3:3" ht="12.75" x14ac:dyDescent="0.2">
      <c r="C909" s="9"/>
    </row>
    <row r="910" spans="3:3" ht="12.75" x14ac:dyDescent="0.2">
      <c r="C910" s="9"/>
    </row>
    <row r="911" spans="3:3" ht="12.75" x14ac:dyDescent="0.2">
      <c r="C911" s="9"/>
    </row>
    <row r="912" spans="3:3" ht="12.75" x14ac:dyDescent="0.2">
      <c r="C912" s="9"/>
    </row>
    <row r="913" spans="3:3" ht="12.75" x14ac:dyDescent="0.2">
      <c r="C913" s="9"/>
    </row>
    <row r="914" spans="3:3" ht="12.75" x14ac:dyDescent="0.2">
      <c r="C914" s="9"/>
    </row>
    <row r="915" spans="3:3" ht="12.75" x14ac:dyDescent="0.2">
      <c r="C915" s="9"/>
    </row>
    <row r="916" spans="3:3" ht="12.75" x14ac:dyDescent="0.2">
      <c r="C916" s="9"/>
    </row>
    <row r="917" spans="3:3" ht="12.75" x14ac:dyDescent="0.2">
      <c r="C917" s="9"/>
    </row>
    <row r="918" spans="3:3" ht="12.75" x14ac:dyDescent="0.2">
      <c r="C918" s="9"/>
    </row>
    <row r="919" spans="3:3" ht="12.75" x14ac:dyDescent="0.2">
      <c r="C919" s="9"/>
    </row>
    <row r="920" spans="3:3" ht="12.75" x14ac:dyDescent="0.2">
      <c r="C920" s="9"/>
    </row>
    <row r="921" spans="3:3" ht="12.75" x14ac:dyDescent="0.2">
      <c r="C921" s="9"/>
    </row>
    <row r="922" spans="3:3" ht="12.75" x14ac:dyDescent="0.2">
      <c r="C922" s="9"/>
    </row>
    <row r="923" spans="3:3" ht="12.75" x14ac:dyDescent="0.2">
      <c r="C923" s="9"/>
    </row>
    <row r="924" spans="3:3" ht="12.75" x14ac:dyDescent="0.2">
      <c r="C924" s="9"/>
    </row>
    <row r="925" spans="3:3" ht="12.75" x14ac:dyDescent="0.2">
      <c r="C925" s="9"/>
    </row>
    <row r="926" spans="3:3" ht="12.75" x14ac:dyDescent="0.2">
      <c r="C926" s="9"/>
    </row>
    <row r="927" spans="3:3" ht="12.75" x14ac:dyDescent="0.2">
      <c r="C927" s="9"/>
    </row>
    <row r="928" spans="3:3" ht="12.75" x14ac:dyDescent="0.2">
      <c r="C928" s="9"/>
    </row>
    <row r="929" spans="3:3" ht="12.75" x14ac:dyDescent="0.2">
      <c r="C929" s="9"/>
    </row>
    <row r="930" spans="3:3" ht="12.75" x14ac:dyDescent="0.2">
      <c r="C930" s="9"/>
    </row>
    <row r="931" spans="3:3" ht="12.75" x14ac:dyDescent="0.2">
      <c r="C931" s="9"/>
    </row>
    <row r="932" spans="3:3" ht="12.75" x14ac:dyDescent="0.2">
      <c r="C932" s="9"/>
    </row>
    <row r="933" spans="3:3" ht="12.75" x14ac:dyDescent="0.2">
      <c r="C933" s="9"/>
    </row>
    <row r="934" spans="3:3" ht="12.75" x14ac:dyDescent="0.2">
      <c r="C934" s="9"/>
    </row>
    <row r="935" spans="3:3" ht="12.75" x14ac:dyDescent="0.2">
      <c r="C935" s="9"/>
    </row>
    <row r="936" spans="3:3" ht="12.75" x14ac:dyDescent="0.2">
      <c r="C936" s="9"/>
    </row>
    <row r="937" spans="3:3" ht="12.75" x14ac:dyDescent="0.2">
      <c r="C937" s="9"/>
    </row>
    <row r="938" spans="3:3" ht="12.75" x14ac:dyDescent="0.2">
      <c r="C938" s="9"/>
    </row>
    <row r="939" spans="3:3" ht="12.75" x14ac:dyDescent="0.2">
      <c r="C939" s="9"/>
    </row>
    <row r="940" spans="3:3" ht="12.75" x14ac:dyDescent="0.2">
      <c r="C940" s="9"/>
    </row>
    <row r="941" spans="3:3" ht="12.75" x14ac:dyDescent="0.2">
      <c r="C941" s="9"/>
    </row>
    <row r="942" spans="3:3" ht="12.75" x14ac:dyDescent="0.2">
      <c r="C942" s="9"/>
    </row>
    <row r="943" spans="3:3" ht="12.75" x14ac:dyDescent="0.2">
      <c r="C943" s="9"/>
    </row>
    <row r="944" spans="3:3" ht="12.75" x14ac:dyDescent="0.2">
      <c r="C944" s="9"/>
    </row>
    <row r="945" spans="3:3" ht="12.75" x14ac:dyDescent="0.2">
      <c r="C945" s="9"/>
    </row>
    <row r="946" spans="3:3" ht="12.75" x14ac:dyDescent="0.2">
      <c r="C946" s="9"/>
    </row>
    <row r="947" spans="3:3" ht="12.75" x14ac:dyDescent="0.2">
      <c r="C947" s="9"/>
    </row>
    <row r="948" spans="3:3" ht="12.75" x14ac:dyDescent="0.2">
      <c r="C948" s="9"/>
    </row>
    <row r="949" spans="3:3" ht="12.75" x14ac:dyDescent="0.2">
      <c r="C949" s="9"/>
    </row>
    <row r="950" spans="3:3" ht="12.75" x14ac:dyDescent="0.2">
      <c r="C950" s="9"/>
    </row>
    <row r="951" spans="3:3" ht="12.75" x14ac:dyDescent="0.2">
      <c r="C951" s="9"/>
    </row>
    <row r="952" spans="3:3" ht="12.75" x14ac:dyDescent="0.2">
      <c r="C952" s="9"/>
    </row>
    <row r="953" spans="3:3" ht="12.75" x14ac:dyDescent="0.2">
      <c r="C953" s="9"/>
    </row>
    <row r="954" spans="3:3" ht="12.75" x14ac:dyDescent="0.2">
      <c r="C954" s="9"/>
    </row>
    <row r="955" spans="3:3" ht="12.75" x14ac:dyDescent="0.2">
      <c r="C955" s="9"/>
    </row>
    <row r="956" spans="3:3" ht="12.75" x14ac:dyDescent="0.2">
      <c r="C956" s="9"/>
    </row>
    <row r="957" spans="3:3" ht="12.75" x14ac:dyDescent="0.2">
      <c r="C957" s="9"/>
    </row>
    <row r="958" spans="3:3" ht="12.75" x14ac:dyDescent="0.2">
      <c r="C958" s="9"/>
    </row>
    <row r="959" spans="3:3" ht="12.75" x14ac:dyDescent="0.2">
      <c r="C959" s="9"/>
    </row>
    <row r="960" spans="3:3" ht="12.75" x14ac:dyDescent="0.2">
      <c r="C960" s="9"/>
    </row>
    <row r="961" spans="3:3" ht="12.75" x14ac:dyDescent="0.2">
      <c r="C961" s="9"/>
    </row>
    <row r="962" spans="3:3" ht="12.75" x14ac:dyDescent="0.2">
      <c r="C962" s="9"/>
    </row>
    <row r="963" spans="3:3" ht="12.75" x14ac:dyDescent="0.2">
      <c r="C963" s="9"/>
    </row>
    <row r="964" spans="3:3" ht="12.75" x14ac:dyDescent="0.2">
      <c r="C964" s="9"/>
    </row>
    <row r="965" spans="3:3" ht="12.75" x14ac:dyDescent="0.2">
      <c r="C965" s="9"/>
    </row>
    <row r="966" spans="3:3" ht="12.75" x14ac:dyDescent="0.2">
      <c r="C966" s="9"/>
    </row>
    <row r="967" spans="3:3" ht="12.75" x14ac:dyDescent="0.2">
      <c r="C967" s="9"/>
    </row>
    <row r="968" spans="3:3" ht="12.75" x14ac:dyDescent="0.2">
      <c r="C968" s="9"/>
    </row>
    <row r="969" spans="3:3" ht="12.75" x14ac:dyDescent="0.2">
      <c r="C969" s="9"/>
    </row>
    <row r="970" spans="3:3" ht="12.75" x14ac:dyDescent="0.2">
      <c r="C970" s="9"/>
    </row>
    <row r="971" spans="3:3" ht="12.75" x14ac:dyDescent="0.2">
      <c r="C971" s="9"/>
    </row>
    <row r="972" spans="3:3" ht="12.75" x14ac:dyDescent="0.2">
      <c r="C972" s="9"/>
    </row>
    <row r="973" spans="3:3" ht="12.75" x14ac:dyDescent="0.2">
      <c r="C973" s="9"/>
    </row>
    <row r="974" spans="3:3" ht="12.75" x14ac:dyDescent="0.2">
      <c r="C974" s="9"/>
    </row>
    <row r="975" spans="3:3" ht="12.75" x14ac:dyDescent="0.2">
      <c r="C975" s="9"/>
    </row>
    <row r="976" spans="3:3" ht="12.75" x14ac:dyDescent="0.2">
      <c r="C976" s="9"/>
    </row>
    <row r="977" spans="3:3" ht="12.75" x14ac:dyDescent="0.2">
      <c r="C977" s="9"/>
    </row>
    <row r="978" spans="3:3" ht="12.75" x14ac:dyDescent="0.2">
      <c r="C978" s="9"/>
    </row>
    <row r="979" spans="3:3" ht="12.75" x14ac:dyDescent="0.2">
      <c r="C979" s="9"/>
    </row>
    <row r="980" spans="3:3" ht="12.75" x14ac:dyDescent="0.2">
      <c r="C980" s="9"/>
    </row>
    <row r="981" spans="3:3" ht="12.75" x14ac:dyDescent="0.2">
      <c r="C981" s="9"/>
    </row>
    <row r="982" spans="3:3" ht="12.75" x14ac:dyDescent="0.2">
      <c r="C982" s="9"/>
    </row>
    <row r="983" spans="3:3" ht="12.75" x14ac:dyDescent="0.2">
      <c r="C983" s="9"/>
    </row>
    <row r="984" spans="3:3" ht="12.75" x14ac:dyDescent="0.2">
      <c r="C984" s="9"/>
    </row>
    <row r="985" spans="3:3" ht="12.75" x14ac:dyDescent="0.2">
      <c r="C985" s="9"/>
    </row>
    <row r="986" spans="3:3" ht="12.75" x14ac:dyDescent="0.2">
      <c r="C986" s="9"/>
    </row>
    <row r="987" spans="3:3" ht="12.75" x14ac:dyDescent="0.2">
      <c r="C987" s="9"/>
    </row>
    <row r="988" spans="3:3" ht="12.75" x14ac:dyDescent="0.2">
      <c r="C988" s="9"/>
    </row>
    <row r="989" spans="3:3" ht="12.75" x14ac:dyDescent="0.2">
      <c r="C989" s="9"/>
    </row>
    <row r="990" spans="3:3" ht="12.75" x14ac:dyDescent="0.2">
      <c r="C990" s="9"/>
    </row>
    <row r="991" spans="3:3" ht="12.75" x14ac:dyDescent="0.2">
      <c r="C991" s="9"/>
    </row>
    <row r="992" spans="3:3" ht="12.75" x14ac:dyDescent="0.2">
      <c r="C992" s="9"/>
    </row>
    <row r="993" spans="3:3" ht="12.75" x14ac:dyDescent="0.2">
      <c r="C993" s="9"/>
    </row>
    <row r="994" spans="3:3" ht="12.75" x14ac:dyDescent="0.2">
      <c r="C994" s="9"/>
    </row>
    <row r="995" spans="3:3" ht="12.75" x14ac:dyDescent="0.2">
      <c r="C995" s="9"/>
    </row>
    <row r="996" spans="3:3" ht="12.75" x14ac:dyDescent="0.2">
      <c r="C996" s="9"/>
    </row>
    <row r="997" spans="3:3" ht="12.75" x14ac:dyDescent="0.2">
      <c r="C997" s="9"/>
    </row>
    <row r="998" spans="3:3" ht="12.75" x14ac:dyDescent="0.2">
      <c r="C998" s="9"/>
    </row>
    <row r="999" spans="3:3" ht="12.75" x14ac:dyDescent="0.2">
      <c r="C999" s="9"/>
    </row>
    <row r="1000" spans="3:3" ht="12.75" x14ac:dyDescent="0.2">
      <c r="C1000" s="9"/>
    </row>
    <row r="1001" spans="3:3" ht="12.75" x14ac:dyDescent="0.2">
      <c r="C1001" s="9"/>
    </row>
    <row r="1002" spans="3:3" ht="12.75" x14ac:dyDescent="0.2">
      <c r="C1002" s="9"/>
    </row>
    <row r="1003" spans="3:3" ht="12.75" x14ac:dyDescent="0.2">
      <c r="C1003" s="9"/>
    </row>
    <row r="1004" spans="3:3" ht="12.75" x14ac:dyDescent="0.2">
      <c r="C1004" s="9"/>
    </row>
    <row r="1005" spans="3:3" ht="12.75" x14ac:dyDescent="0.2">
      <c r="C1005" s="9"/>
    </row>
    <row r="1006" spans="3:3" ht="12.75" x14ac:dyDescent="0.2">
      <c r="C1006" s="9"/>
    </row>
    <row r="1007" spans="3:3" ht="12.75" x14ac:dyDescent="0.2">
      <c r="C1007" s="9"/>
    </row>
    <row r="1008" spans="3:3" ht="12.75" x14ac:dyDescent="0.2">
      <c r="C1008" s="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1000"/>
  <sheetViews>
    <sheetView showGridLines="0" workbookViewId="0"/>
  </sheetViews>
  <sheetFormatPr baseColWidth="10" defaultColWidth="12.5703125" defaultRowHeight="15.75" customHeight="1" x14ac:dyDescent="0.2"/>
  <cols>
    <col min="3" max="3" width="134" customWidth="1"/>
    <col min="4" max="4" width="24.42578125" customWidth="1"/>
  </cols>
  <sheetData>
    <row r="1" spans="1:4" ht="12.75" x14ac:dyDescent="0.2">
      <c r="A1" s="10" t="s">
        <v>817</v>
      </c>
      <c r="B1" s="10"/>
      <c r="C1" s="11" t="s">
        <v>818</v>
      </c>
    </row>
    <row r="2" spans="1:4" ht="12.75" x14ac:dyDescent="0.2">
      <c r="A2" s="10" t="s">
        <v>819</v>
      </c>
      <c r="B2" s="10" t="s">
        <v>820</v>
      </c>
      <c r="C2" s="11"/>
    </row>
    <row r="3" spans="1:4" ht="113.25" customHeight="1" x14ac:dyDescent="0.2">
      <c r="A3" s="10" t="s">
        <v>821</v>
      </c>
      <c r="B3" s="10" t="s">
        <v>822</v>
      </c>
      <c r="C3" s="11" t="s">
        <v>823</v>
      </c>
      <c r="D3" s="12"/>
    </row>
    <row r="4" spans="1:4" ht="113.25" customHeight="1" x14ac:dyDescent="0.2">
      <c r="A4" s="10" t="s">
        <v>824</v>
      </c>
      <c r="B4" s="13"/>
      <c r="C4" s="11" t="s">
        <v>825</v>
      </c>
      <c r="D4" s="12"/>
    </row>
    <row r="5" spans="1:4" ht="113.25" customHeight="1" x14ac:dyDescent="0.2">
      <c r="A5" s="10" t="s">
        <v>826</v>
      </c>
      <c r="B5" s="10"/>
      <c r="C5" s="11" t="s">
        <v>827</v>
      </c>
      <c r="D5" s="12"/>
    </row>
    <row r="6" spans="1:4" ht="113.25" customHeight="1" x14ac:dyDescent="0.2">
      <c r="A6" s="10" t="s">
        <v>828</v>
      </c>
      <c r="B6" s="10"/>
      <c r="C6" s="11" t="s">
        <v>829</v>
      </c>
      <c r="D6" s="12"/>
    </row>
    <row r="7" spans="1:4" ht="113.25" customHeight="1" x14ac:dyDescent="0.2">
      <c r="A7" s="10" t="s">
        <v>830</v>
      </c>
      <c r="B7" s="10" t="s">
        <v>831</v>
      </c>
      <c r="C7" s="11" t="s">
        <v>832</v>
      </c>
      <c r="D7" s="12"/>
    </row>
    <row r="8" spans="1:4" ht="113.25" customHeight="1" x14ac:dyDescent="0.2">
      <c r="A8" s="10" t="s">
        <v>833</v>
      </c>
      <c r="B8" s="10" t="s">
        <v>834</v>
      </c>
      <c r="C8" s="11" t="s">
        <v>835</v>
      </c>
      <c r="D8" s="12"/>
    </row>
    <row r="9" spans="1:4" ht="113.25" customHeight="1" x14ac:dyDescent="0.2">
      <c r="A9" s="10" t="s">
        <v>836</v>
      </c>
      <c r="B9" s="10" t="s">
        <v>837</v>
      </c>
      <c r="C9" s="11" t="s">
        <v>838</v>
      </c>
      <c r="D9" s="12"/>
    </row>
    <row r="10" spans="1:4" ht="113.25" customHeight="1" x14ac:dyDescent="0.2">
      <c r="A10" s="10" t="s">
        <v>839</v>
      </c>
      <c r="B10" s="10" t="s">
        <v>840</v>
      </c>
      <c r="C10" s="11" t="s">
        <v>841</v>
      </c>
      <c r="D10" s="12"/>
    </row>
    <row r="11" spans="1:4" ht="113.25" customHeight="1" x14ac:dyDescent="0.2">
      <c r="A11" s="10" t="s">
        <v>842</v>
      </c>
      <c r="B11" s="13"/>
      <c r="C11" s="11" t="s">
        <v>843</v>
      </c>
      <c r="D11" s="12"/>
    </row>
    <row r="12" spans="1:4" ht="113.25" customHeight="1" x14ac:dyDescent="0.2">
      <c r="A12" s="10" t="s">
        <v>844</v>
      </c>
      <c r="B12" s="10" t="s">
        <v>845</v>
      </c>
      <c r="C12" s="11" t="s">
        <v>846</v>
      </c>
      <c r="D12" s="12"/>
    </row>
    <row r="13" spans="1:4" ht="113.25" customHeight="1" x14ac:dyDescent="0.2">
      <c r="A13" s="10" t="s">
        <v>847</v>
      </c>
      <c r="B13" s="10" t="s">
        <v>848</v>
      </c>
      <c r="C13" s="11" t="s">
        <v>849</v>
      </c>
      <c r="D13" s="12"/>
    </row>
    <row r="14" spans="1:4" ht="113.25" customHeight="1" x14ac:dyDescent="0.2">
      <c r="A14" s="10" t="s">
        <v>850</v>
      </c>
      <c r="B14" s="10" t="s">
        <v>851</v>
      </c>
      <c r="C14" s="11" t="s">
        <v>852</v>
      </c>
      <c r="D14" s="12"/>
    </row>
    <row r="15" spans="1:4" ht="113.25" customHeight="1" x14ac:dyDescent="0.2">
      <c r="A15" s="10" t="s">
        <v>853</v>
      </c>
      <c r="B15" s="13"/>
      <c r="C15" s="11" t="s">
        <v>854</v>
      </c>
      <c r="D15" s="12"/>
    </row>
    <row r="16" spans="1:4" ht="113.25" customHeight="1" x14ac:dyDescent="0.2">
      <c r="A16" s="10" t="s">
        <v>855</v>
      </c>
      <c r="B16" s="13"/>
      <c r="C16" s="11" t="s">
        <v>856</v>
      </c>
      <c r="D16" s="12"/>
    </row>
    <row r="17" spans="1:4" ht="113.25" customHeight="1" x14ac:dyDescent="0.2">
      <c r="A17" s="10" t="s">
        <v>857</v>
      </c>
      <c r="B17" s="13"/>
      <c r="C17" s="11" t="s">
        <v>858</v>
      </c>
      <c r="D17" s="12"/>
    </row>
    <row r="18" spans="1:4" ht="113.25" customHeight="1" x14ac:dyDescent="0.2">
      <c r="A18" s="13"/>
      <c r="B18" s="10" t="s">
        <v>859</v>
      </c>
      <c r="C18" s="11" t="s">
        <v>860</v>
      </c>
      <c r="D18" s="12"/>
    </row>
    <row r="19" spans="1:4" ht="113.25" customHeight="1" x14ac:dyDescent="0.2">
      <c r="A19" s="10" t="s">
        <v>861</v>
      </c>
      <c r="B19" s="10" t="s">
        <v>862</v>
      </c>
      <c r="C19" s="11" t="s">
        <v>863</v>
      </c>
      <c r="D19" s="12"/>
    </row>
    <row r="20" spans="1:4" ht="113.25" customHeight="1" x14ac:dyDescent="0.2">
      <c r="A20" s="10" t="s">
        <v>864</v>
      </c>
      <c r="B20" s="10" t="s">
        <v>192</v>
      </c>
      <c r="C20" s="11" t="s">
        <v>865</v>
      </c>
      <c r="D20" s="12"/>
    </row>
    <row r="21" spans="1:4" ht="113.25" customHeight="1" x14ac:dyDescent="0.2">
      <c r="A21" s="10" t="s">
        <v>866</v>
      </c>
      <c r="B21" s="13"/>
      <c r="C21" s="11" t="s">
        <v>867</v>
      </c>
      <c r="D21" s="12"/>
    </row>
    <row r="22" spans="1:4" ht="113.25" customHeight="1" x14ac:dyDescent="0.2">
      <c r="A22" s="13"/>
      <c r="B22" s="13"/>
      <c r="C22" s="14"/>
    </row>
    <row r="23" spans="1:4" ht="113.25" customHeight="1" x14ac:dyDescent="0.2">
      <c r="A23" s="13"/>
      <c r="B23" s="13"/>
      <c r="C23" s="14"/>
    </row>
    <row r="24" spans="1:4" ht="113.25" customHeight="1" x14ac:dyDescent="0.2">
      <c r="A24" s="13"/>
      <c r="B24" s="13"/>
      <c r="C24" s="14"/>
    </row>
    <row r="25" spans="1:4" ht="113.25" customHeight="1" x14ac:dyDescent="0.2">
      <c r="A25" s="13"/>
      <c r="B25" s="13"/>
      <c r="C25" s="14"/>
    </row>
    <row r="26" spans="1:4" ht="113.25" customHeight="1" x14ac:dyDescent="0.2">
      <c r="A26" s="13"/>
      <c r="B26" s="13"/>
      <c r="C26" s="14"/>
    </row>
    <row r="27" spans="1:4" ht="12.75" x14ac:dyDescent="0.2">
      <c r="A27" s="13"/>
      <c r="B27" s="13"/>
      <c r="C27" s="14"/>
    </row>
    <row r="28" spans="1:4" ht="12.75" x14ac:dyDescent="0.2">
      <c r="A28" s="13"/>
      <c r="B28" s="13"/>
      <c r="C28" s="14"/>
    </row>
    <row r="29" spans="1:4" ht="12.75" x14ac:dyDescent="0.2">
      <c r="A29" s="13"/>
      <c r="B29" s="13"/>
      <c r="C29" s="14"/>
    </row>
    <row r="30" spans="1:4" ht="12.75" x14ac:dyDescent="0.2">
      <c r="A30" s="13"/>
      <c r="B30" s="13"/>
      <c r="C30" s="14"/>
    </row>
    <row r="31" spans="1:4" ht="12.75" x14ac:dyDescent="0.2">
      <c r="A31" s="13"/>
      <c r="B31" s="13"/>
      <c r="C31" s="14"/>
    </row>
    <row r="32" spans="1:4" ht="12.75" x14ac:dyDescent="0.2">
      <c r="A32" s="13"/>
      <c r="B32" s="13"/>
      <c r="C32" s="14"/>
    </row>
    <row r="33" spans="1:3" ht="12.75" x14ac:dyDescent="0.2">
      <c r="A33" s="13"/>
      <c r="B33" s="13"/>
      <c r="C33" s="14"/>
    </row>
    <row r="34" spans="1:3" ht="12.75" x14ac:dyDescent="0.2">
      <c r="A34" s="13"/>
      <c r="B34" s="13"/>
      <c r="C34" s="14"/>
    </row>
    <row r="35" spans="1:3" ht="12.75" x14ac:dyDescent="0.2">
      <c r="A35" s="13"/>
      <c r="B35" s="13"/>
      <c r="C35" s="14"/>
    </row>
    <row r="36" spans="1:3" ht="12.75" x14ac:dyDescent="0.2">
      <c r="A36" s="13"/>
      <c r="B36" s="13"/>
      <c r="C36" s="14"/>
    </row>
    <row r="37" spans="1:3" ht="12.75" x14ac:dyDescent="0.2">
      <c r="A37" s="13"/>
      <c r="B37" s="13"/>
      <c r="C37" s="14"/>
    </row>
    <row r="38" spans="1:3" ht="12.75" x14ac:dyDescent="0.2">
      <c r="A38" s="13"/>
      <c r="B38" s="13"/>
      <c r="C38" s="14"/>
    </row>
    <row r="39" spans="1:3" ht="12.75" x14ac:dyDescent="0.2">
      <c r="A39" s="13"/>
      <c r="B39" s="13"/>
      <c r="C39" s="14"/>
    </row>
    <row r="40" spans="1:3" ht="12.75" x14ac:dyDescent="0.2">
      <c r="A40" s="13"/>
      <c r="B40" s="13"/>
      <c r="C40" s="14"/>
    </row>
    <row r="41" spans="1:3" ht="12.75" x14ac:dyDescent="0.2">
      <c r="A41" s="13"/>
      <c r="B41" s="13"/>
      <c r="C41" s="14"/>
    </row>
    <row r="42" spans="1:3" ht="12.75" x14ac:dyDescent="0.2">
      <c r="A42" s="13"/>
      <c r="B42" s="13"/>
      <c r="C42" s="14"/>
    </row>
    <row r="43" spans="1:3" ht="12.75" x14ac:dyDescent="0.2">
      <c r="A43" s="13"/>
      <c r="B43" s="13"/>
      <c r="C43" s="14"/>
    </row>
    <row r="44" spans="1:3" ht="12.75" x14ac:dyDescent="0.2">
      <c r="A44" s="13"/>
      <c r="B44" s="13"/>
      <c r="C44" s="14"/>
    </row>
    <row r="45" spans="1:3" ht="12.75" x14ac:dyDescent="0.2">
      <c r="A45" s="13"/>
      <c r="B45" s="13"/>
      <c r="C45" s="14"/>
    </row>
    <row r="46" spans="1:3" ht="12.75" x14ac:dyDescent="0.2">
      <c r="A46" s="13"/>
      <c r="B46" s="13"/>
      <c r="C46" s="14"/>
    </row>
    <row r="47" spans="1:3" ht="12.75" x14ac:dyDescent="0.2">
      <c r="A47" s="13"/>
      <c r="B47" s="13"/>
      <c r="C47" s="14"/>
    </row>
    <row r="48" spans="1:3" ht="12.75" x14ac:dyDescent="0.2">
      <c r="A48" s="13"/>
      <c r="B48" s="13"/>
      <c r="C48" s="14"/>
    </row>
    <row r="49" spans="1:3" ht="12.75" x14ac:dyDescent="0.2">
      <c r="A49" s="13"/>
      <c r="B49" s="13"/>
      <c r="C49" s="14"/>
    </row>
    <row r="50" spans="1:3" ht="12.75" x14ac:dyDescent="0.2">
      <c r="A50" s="13"/>
      <c r="B50" s="13"/>
      <c r="C50" s="14"/>
    </row>
    <row r="51" spans="1:3" ht="12.75" x14ac:dyDescent="0.2">
      <c r="A51" s="13"/>
      <c r="B51" s="13"/>
      <c r="C51" s="14"/>
    </row>
    <row r="52" spans="1:3" ht="12.75" x14ac:dyDescent="0.2">
      <c r="A52" s="13"/>
      <c r="B52" s="13"/>
      <c r="C52" s="14"/>
    </row>
    <row r="53" spans="1:3" ht="12.75" x14ac:dyDescent="0.2">
      <c r="A53" s="13"/>
      <c r="B53" s="13"/>
      <c r="C53" s="14"/>
    </row>
    <row r="54" spans="1:3" ht="12.75" x14ac:dyDescent="0.2">
      <c r="A54" s="13"/>
      <c r="B54" s="13"/>
      <c r="C54" s="14"/>
    </row>
    <row r="55" spans="1:3" ht="12.75" x14ac:dyDescent="0.2">
      <c r="A55" s="13"/>
      <c r="B55" s="13"/>
      <c r="C55" s="14"/>
    </row>
    <row r="56" spans="1:3" ht="12.75" x14ac:dyDescent="0.2">
      <c r="A56" s="13"/>
      <c r="B56" s="13"/>
      <c r="C56" s="14"/>
    </row>
    <row r="57" spans="1:3" ht="12.75" x14ac:dyDescent="0.2">
      <c r="A57" s="13"/>
      <c r="B57" s="13"/>
      <c r="C57" s="14"/>
    </row>
    <row r="58" spans="1:3" ht="12.75" x14ac:dyDescent="0.2">
      <c r="A58" s="13"/>
      <c r="B58" s="13"/>
      <c r="C58" s="14"/>
    </row>
    <row r="59" spans="1:3" ht="12.75" x14ac:dyDescent="0.2">
      <c r="A59" s="13"/>
      <c r="B59" s="13"/>
      <c r="C59" s="14"/>
    </row>
    <row r="60" spans="1:3" ht="12.75" x14ac:dyDescent="0.2">
      <c r="A60" s="13"/>
      <c r="B60" s="13"/>
      <c r="C60" s="14"/>
    </row>
    <row r="61" spans="1:3" ht="12.75" x14ac:dyDescent="0.2">
      <c r="A61" s="13"/>
      <c r="B61" s="13"/>
      <c r="C61" s="14"/>
    </row>
    <row r="62" spans="1:3" ht="12.75" x14ac:dyDescent="0.2">
      <c r="A62" s="13"/>
      <c r="B62" s="13"/>
      <c r="C62" s="14"/>
    </row>
    <row r="63" spans="1:3" ht="12.75" x14ac:dyDescent="0.2">
      <c r="A63" s="13"/>
      <c r="B63" s="13"/>
      <c r="C63" s="14"/>
    </row>
    <row r="64" spans="1:3" ht="12.75" x14ac:dyDescent="0.2">
      <c r="A64" s="13"/>
      <c r="B64" s="13"/>
      <c r="C64" s="14"/>
    </row>
    <row r="65" spans="1:3" ht="12.75" x14ac:dyDescent="0.2">
      <c r="A65" s="13"/>
      <c r="B65" s="13"/>
      <c r="C65" s="14"/>
    </row>
    <row r="66" spans="1:3" ht="12.75" x14ac:dyDescent="0.2">
      <c r="A66" s="13"/>
      <c r="B66" s="13"/>
      <c r="C66" s="14"/>
    </row>
    <row r="67" spans="1:3" ht="12.75" x14ac:dyDescent="0.2">
      <c r="A67" s="13"/>
      <c r="B67" s="13"/>
      <c r="C67" s="14"/>
    </row>
    <row r="68" spans="1:3" ht="12.75" x14ac:dyDescent="0.2">
      <c r="A68" s="13"/>
      <c r="B68" s="13"/>
      <c r="C68" s="14"/>
    </row>
    <row r="69" spans="1:3" ht="12.75" x14ac:dyDescent="0.2">
      <c r="A69" s="13"/>
      <c r="B69" s="13"/>
      <c r="C69" s="14"/>
    </row>
    <row r="70" spans="1:3" ht="12.75" x14ac:dyDescent="0.2">
      <c r="A70" s="13"/>
      <c r="B70" s="13"/>
      <c r="C70" s="14"/>
    </row>
    <row r="71" spans="1:3" ht="12.75" x14ac:dyDescent="0.2">
      <c r="A71" s="13"/>
      <c r="B71" s="13"/>
      <c r="C71" s="14"/>
    </row>
    <row r="72" spans="1:3" ht="12.75" x14ac:dyDescent="0.2">
      <c r="A72" s="13"/>
      <c r="B72" s="13"/>
      <c r="C72" s="14"/>
    </row>
    <row r="73" spans="1:3" ht="12.75" x14ac:dyDescent="0.2">
      <c r="A73" s="13"/>
      <c r="B73" s="13"/>
      <c r="C73" s="14"/>
    </row>
    <row r="74" spans="1:3" ht="12.75" x14ac:dyDescent="0.2">
      <c r="A74" s="13"/>
      <c r="B74" s="13"/>
      <c r="C74" s="14"/>
    </row>
    <row r="75" spans="1:3" ht="12.75" x14ac:dyDescent="0.2">
      <c r="A75" s="13"/>
      <c r="B75" s="13"/>
      <c r="C75" s="14"/>
    </row>
    <row r="76" spans="1:3" ht="12.75" x14ac:dyDescent="0.2">
      <c r="A76" s="13"/>
      <c r="B76" s="13"/>
      <c r="C76" s="14"/>
    </row>
    <row r="77" spans="1:3" ht="12.75" x14ac:dyDescent="0.2">
      <c r="A77" s="13"/>
      <c r="B77" s="13"/>
      <c r="C77" s="14"/>
    </row>
    <row r="78" spans="1:3" ht="12.75" x14ac:dyDescent="0.2">
      <c r="A78" s="13"/>
      <c r="B78" s="13"/>
      <c r="C78" s="14"/>
    </row>
    <row r="79" spans="1:3" ht="12.75" x14ac:dyDescent="0.2">
      <c r="A79" s="13"/>
      <c r="B79" s="13"/>
      <c r="C79" s="14"/>
    </row>
    <row r="80" spans="1:3" ht="12.75" x14ac:dyDescent="0.2">
      <c r="A80" s="13"/>
      <c r="B80" s="13"/>
      <c r="C80" s="14"/>
    </row>
    <row r="81" spans="1:3" ht="12.75" x14ac:dyDescent="0.2">
      <c r="A81" s="13"/>
      <c r="B81" s="13"/>
      <c r="C81" s="14"/>
    </row>
    <row r="82" spans="1:3" ht="12.75" x14ac:dyDescent="0.2">
      <c r="A82" s="13"/>
      <c r="B82" s="13"/>
      <c r="C82" s="14"/>
    </row>
    <row r="83" spans="1:3" ht="12.75" x14ac:dyDescent="0.2">
      <c r="A83" s="13"/>
      <c r="B83" s="13"/>
      <c r="C83" s="14"/>
    </row>
    <row r="84" spans="1:3" ht="12.75" x14ac:dyDescent="0.2">
      <c r="A84" s="13"/>
      <c r="B84" s="13"/>
      <c r="C84" s="14"/>
    </row>
    <row r="85" spans="1:3" ht="12.75" x14ac:dyDescent="0.2">
      <c r="A85" s="13"/>
      <c r="B85" s="13"/>
      <c r="C85" s="14"/>
    </row>
    <row r="86" spans="1:3" ht="12.75" x14ac:dyDescent="0.2">
      <c r="A86" s="13"/>
      <c r="B86" s="13"/>
      <c r="C86" s="14"/>
    </row>
    <row r="87" spans="1:3" ht="12.75" x14ac:dyDescent="0.2">
      <c r="A87" s="13"/>
      <c r="B87" s="13"/>
      <c r="C87" s="14"/>
    </row>
    <row r="88" spans="1:3" ht="12.75" x14ac:dyDescent="0.2">
      <c r="A88" s="13"/>
      <c r="B88" s="13"/>
      <c r="C88" s="14"/>
    </row>
    <row r="89" spans="1:3" ht="12.75" x14ac:dyDescent="0.2">
      <c r="A89" s="13"/>
      <c r="B89" s="13"/>
      <c r="C89" s="14"/>
    </row>
    <row r="90" spans="1:3" ht="12.75" x14ac:dyDescent="0.2">
      <c r="A90" s="13"/>
      <c r="B90" s="13"/>
      <c r="C90" s="14"/>
    </row>
    <row r="91" spans="1:3" ht="12.75" x14ac:dyDescent="0.2">
      <c r="A91" s="13"/>
      <c r="B91" s="13"/>
      <c r="C91" s="14"/>
    </row>
    <row r="92" spans="1:3" ht="12.75" x14ac:dyDescent="0.2">
      <c r="A92" s="13"/>
      <c r="B92" s="13"/>
      <c r="C92" s="14"/>
    </row>
    <row r="93" spans="1:3" ht="12.75" x14ac:dyDescent="0.2">
      <c r="A93" s="13"/>
      <c r="B93" s="13"/>
      <c r="C93" s="14"/>
    </row>
    <row r="94" spans="1:3" ht="12.75" x14ac:dyDescent="0.2">
      <c r="A94" s="13"/>
      <c r="B94" s="13"/>
      <c r="C94" s="14"/>
    </row>
    <row r="95" spans="1:3" ht="12.75" x14ac:dyDescent="0.2">
      <c r="A95" s="13"/>
      <c r="B95" s="13"/>
      <c r="C95" s="14"/>
    </row>
    <row r="96" spans="1:3" ht="12.75" x14ac:dyDescent="0.2">
      <c r="A96" s="13"/>
      <c r="B96" s="13"/>
      <c r="C96" s="14"/>
    </row>
    <row r="97" spans="1:3" ht="12.75" x14ac:dyDescent="0.2">
      <c r="A97" s="13"/>
      <c r="B97" s="13"/>
      <c r="C97" s="14"/>
    </row>
    <row r="98" spans="1:3" ht="12.75" x14ac:dyDescent="0.2">
      <c r="A98" s="13"/>
      <c r="B98" s="13"/>
      <c r="C98" s="14"/>
    </row>
    <row r="99" spans="1:3" ht="12.75" x14ac:dyDescent="0.2">
      <c r="A99" s="13"/>
      <c r="B99" s="13"/>
      <c r="C99" s="14"/>
    </row>
    <row r="100" spans="1:3" ht="12.75" x14ac:dyDescent="0.2">
      <c r="A100" s="13"/>
      <c r="B100" s="13"/>
      <c r="C100" s="14"/>
    </row>
    <row r="101" spans="1:3" ht="12.75" x14ac:dyDescent="0.2">
      <c r="A101" s="13"/>
      <c r="B101" s="13"/>
      <c r="C101" s="14"/>
    </row>
    <row r="102" spans="1:3" ht="12.75" x14ac:dyDescent="0.2">
      <c r="A102" s="13"/>
      <c r="B102" s="13"/>
      <c r="C102" s="14"/>
    </row>
    <row r="103" spans="1:3" ht="12.75" x14ac:dyDescent="0.2">
      <c r="A103" s="13"/>
      <c r="B103" s="13"/>
      <c r="C103" s="14"/>
    </row>
    <row r="104" spans="1:3" ht="12.75" x14ac:dyDescent="0.2">
      <c r="A104" s="13"/>
      <c r="B104" s="13"/>
      <c r="C104" s="14"/>
    </row>
    <row r="105" spans="1:3" ht="12.75" x14ac:dyDescent="0.2">
      <c r="A105" s="13"/>
      <c r="B105" s="13"/>
      <c r="C105" s="14"/>
    </row>
    <row r="106" spans="1:3" ht="12.75" x14ac:dyDescent="0.2">
      <c r="A106" s="13"/>
      <c r="B106" s="13"/>
      <c r="C106" s="14"/>
    </row>
    <row r="107" spans="1:3" ht="12.75" x14ac:dyDescent="0.2">
      <c r="A107" s="13"/>
      <c r="B107" s="13"/>
      <c r="C107" s="14"/>
    </row>
    <row r="108" spans="1:3" ht="12.75" x14ac:dyDescent="0.2">
      <c r="A108" s="13"/>
      <c r="B108" s="13"/>
      <c r="C108" s="14"/>
    </row>
    <row r="109" spans="1:3" ht="12.75" x14ac:dyDescent="0.2">
      <c r="A109" s="13"/>
      <c r="B109" s="13"/>
      <c r="C109" s="14"/>
    </row>
    <row r="110" spans="1:3" ht="12.75" x14ac:dyDescent="0.2">
      <c r="A110" s="13"/>
      <c r="B110" s="13"/>
      <c r="C110" s="14"/>
    </row>
    <row r="111" spans="1:3" ht="12.75" x14ac:dyDescent="0.2">
      <c r="A111" s="13"/>
      <c r="B111" s="13"/>
      <c r="C111" s="14"/>
    </row>
    <row r="112" spans="1:3" ht="12.75" x14ac:dyDescent="0.2">
      <c r="A112" s="13"/>
      <c r="B112" s="13"/>
      <c r="C112" s="14"/>
    </row>
    <row r="113" spans="1:3" ht="12.75" x14ac:dyDescent="0.2">
      <c r="A113" s="13"/>
      <c r="B113" s="13"/>
      <c r="C113" s="14"/>
    </row>
    <row r="114" spans="1:3" ht="12.75" x14ac:dyDescent="0.2">
      <c r="A114" s="13"/>
      <c r="B114" s="13"/>
      <c r="C114" s="14"/>
    </row>
    <row r="115" spans="1:3" ht="12.75" x14ac:dyDescent="0.2">
      <c r="A115" s="13"/>
      <c r="B115" s="13"/>
      <c r="C115" s="14"/>
    </row>
    <row r="116" spans="1:3" ht="12.75" x14ac:dyDescent="0.2">
      <c r="A116" s="13"/>
      <c r="B116" s="13"/>
      <c r="C116" s="14"/>
    </row>
    <row r="117" spans="1:3" ht="12.75" x14ac:dyDescent="0.2">
      <c r="A117" s="13"/>
      <c r="B117" s="13"/>
      <c r="C117" s="14"/>
    </row>
    <row r="118" spans="1:3" ht="12.75" x14ac:dyDescent="0.2">
      <c r="A118" s="13"/>
      <c r="B118" s="13"/>
      <c r="C118" s="14"/>
    </row>
    <row r="119" spans="1:3" ht="12.75" x14ac:dyDescent="0.2">
      <c r="A119" s="13"/>
      <c r="B119" s="13"/>
      <c r="C119" s="14"/>
    </row>
    <row r="120" spans="1:3" ht="12.75" x14ac:dyDescent="0.2">
      <c r="A120" s="13"/>
      <c r="B120" s="13"/>
      <c r="C120" s="14"/>
    </row>
    <row r="121" spans="1:3" ht="12.75" x14ac:dyDescent="0.2">
      <c r="A121" s="13"/>
      <c r="B121" s="13"/>
      <c r="C121" s="14"/>
    </row>
    <row r="122" spans="1:3" ht="12.75" x14ac:dyDescent="0.2">
      <c r="A122" s="13"/>
      <c r="B122" s="13"/>
      <c r="C122" s="14"/>
    </row>
    <row r="123" spans="1:3" ht="12.75" x14ac:dyDescent="0.2">
      <c r="A123" s="13"/>
      <c r="B123" s="13"/>
      <c r="C123" s="14"/>
    </row>
    <row r="124" spans="1:3" ht="12.75" x14ac:dyDescent="0.2">
      <c r="A124" s="13"/>
      <c r="B124" s="13"/>
      <c r="C124" s="14"/>
    </row>
    <row r="125" spans="1:3" ht="12.75" x14ac:dyDescent="0.2">
      <c r="A125" s="13"/>
      <c r="B125" s="13"/>
      <c r="C125" s="14"/>
    </row>
    <row r="126" spans="1:3" ht="12.75" x14ac:dyDescent="0.2">
      <c r="A126" s="13"/>
      <c r="B126" s="13"/>
      <c r="C126" s="14"/>
    </row>
    <row r="127" spans="1:3" ht="12.75" x14ac:dyDescent="0.2">
      <c r="A127" s="13"/>
      <c r="B127" s="13"/>
      <c r="C127" s="14"/>
    </row>
    <row r="128" spans="1:3" ht="12.75" x14ac:dyDescent="0.2">
      <c r="A128" s="13"/>
      <c r="B128" s="13"/>
      <c r="C128" s="14"/>
    </row>
    <row r="129" spans="1:3" ht="12.75" x14ac:dyDescent="0.2">
      <c r="A129" s="13"/>
      <c r="B129" s="13"/>
      <c r="C129" s="14"/>
    </row>
    <row r="130" spans="1:3" ht="12.75" x14ac:dyDescent="0.2">
      <c r="A130" s="13"/>
      <c r="B130" s="13"/>
      <c r="C130" s="14"/>
    </row>
    <row r="131" spans="1:3" ht="12.75" x14ac:dyDescent="0.2">
      <c r="A131" s="13"/>
      <c r="B131" s="13"/>
      <c r="C131" s="14"/>
    </row>
    <row r="132" spans="1:3" ht="12.75" x14ac:dyDescent="0.2">
      <c r="A132" s="13"/>
      <c r="B132" s="13"/>
      <c r="C132" s="14"/>
    </row>
    <row r="133" spans="1:3" ht="12.75" x14ac:dyDescent="0.2">
      <c r="A133" s="13"/>
      <c r="B133" s="13"/>
      <c r="C133" s="14"/>
    </row>
    <row r="134" spans="1:3" ht="12.75" x14ac:dyDescent="0.2">
      <c r="A134" s="13"/>
      <c r="B134" s="13"/>
      <c r="C134" s="14"/>
    </row>
    <row r="135" spans="1:3" ht="12.75" x14ac:dyDescent="0.2">
      <c r="A135" s="13"/>
      <c r="B135" s="13"/>
      <c r="C135" s="14"/>
    </row>
    <row r="136" spans="1:3" ht="12.75" x14ac:dyDescent="0.2">
      <c r="A136" s="13"/>
      <c r="B136" s="13"/>
      <c r="C136" s="14"/>
    </row>
    <row r="137" spans="1:3" ht="12.75" x14ac:dyDescent="0.2">
      <c r="A137" s="13"/>
      <c r="B137" s="13"/>
      <c r="C137" s="14"/>
    </row>
    <row r="138" spans="1:3" ht="12.75" x14ac:dyDescent="0.2">
      <c r="A138" s="13"/>
      <c r="B138" s="13"/>
      <c r="C138" s="14"/>
    </row>
    <row r="139" spans="1:3" ht="12.75" x14ac:dyDescent="0.2">
      <c r="A139" s="13"/>
      <c r="B139" s="13"/>
      <c r="C139" s="14"/>
    </row>
    <row r="140" spans="1:3" ht="12.75" x14ac:dyDescent="0.2">
      <c r="A140" s="13"/>
      <c r="B140" s="13"/>
      <c r="C140" s="14"/>
    </row>
    <row r="141" spans="1:3" ht="12.75" x14ac:dyDescent="0.2">
      <c r="A141" s="13"/>
      <c r="B141" s="13"/>
      <c r="C141" s="14"/>
    </row>
    <row r="142" spans="1:3" ht="12.75" x14ac:dyDescent="0.2">
      <c r="A142" s="13"/>
      <c r="B142" s="13"/>
      <c r="C142" s="14"/>
    </row>
    <row r="143" spans="1:3" ht="12.75" x14ac:dyDescent="0.2">
      <c r="A143" s="13"/>
      <c r="B143" s="13"/>
      <c r="C143" s="14"/>
    </row>
    <row r="144" spans="1:3" ht="12.75" x14ac:dyDescent="0.2">
      <c r="A144" s="13"/>
      <c r="B144" s="13"/>
      <c r="C144" s="14"/>
    </row>
    <row r="145" spans="1:3" ht="12.75" x14ac:dyDescent="0.2">
      <c r="A145" s="13"/>
      <c r="B145" s="13"/>
      <c r="C145" s="14"/>
    </row>
    <row r="146" spans="1:3" ht="12.75" x14ac:dyDescent="0.2">
      <c r="A146" s="13"/>
      <c r="B146" s="13"/>
      <c r="C146" s="14"/>
    </row>
    <row r="147" spans="1:3" ht="12.75" x14ac:dyDescent="0.2">
      <c r="A147" s="13"/>
      <c r="B147" s="13"/>
      <c r="C147" s="14"/>
    </row>
    <row r="148" spans="1:3" ht="12.75" x14ac:dyDescent="0.2">
      <c r="A148" s="13"/>
      <c r="B148" s="13"/>
      <c r="C148" s="14"/>
    </row>
    <row r="149" spans="1:3" ht="12.75" x14ac:dyDescent="0.2">
      <c r="A149" s="13"/>
      <c r="B149" s="13"/>
      <c r="C149" s="14"/>
    </row>
    <row r="150" spans="1:3" ht="12.75" x14ac:dyDescent="0.2">
      <c r="A150" s="13"/>
      <c r="B150" s="13"/>
      <c r="C150" s="14"/>
    </row>
    <row r="151" spans="1:3" ht="12.75" x14ac:dyDescent="0.2">
      <c r="A151" s="13"/>
      <c r="B151" s="13"/>
      <c r="C151" s="14"/>
    </row>
    <row r="152" spans="1:3" ht="12.75" x14ac:dyDescent="0.2">
      <c r="A152" s="13"/>
      <c r="B152" s="13"/>
      <c r="C152" s="14"/>
    </row>
    <row r="153" spans="1:3" ht="12.75" x14ac:dyDescent="0.2">
      <c r="A153" s="13"/>
      <c r="B153" s="13"/>
      <c r="C153" s="14"/>
    </row>
    <row r="154" spans="1:3" ht="12.75" x14ac:dyDescent="0.2">
      <c r="A154" s="13"/>
      <c r="B154" s="13"/>
      <c r="C154" s="14"/>
    </row>
    <row r="155" spans="1:3" ht="12.75" x14ac:dyDescent="0.2">
      <c r="A155" s="13"/>
      <c r="B155" s="13"/>
      <c r="C155" s="14"/>
    </row>
    <row r="156" spans="1:3" ht="12.75" x14ac:dyDescent="0.2">
      <c r="A156" s="13"/>
      <c r="B156" s="13"/>
      <c r="C156" s="14"/>
    </row>
    <row r="157" spans="1:3" ht="12.75" x14ac:dyDescent="0.2">
      <c r="A157" s="13"/>
      <c r="B157" s="13"/>
      <c r="C157" s="14"/>
    </row>
    <row r="158" spans="1:3" ht="12.75" x14ac:dyDescent="0.2">
      <c r="A158" s="13"/>
      <c r="B158" s="13"/>
      <c r="C158" s="14"/>
    </row>
    <row r="159" spans="1:3" ht="12.75" x14ac:dyDescent="0.2">
      <c r="A159" s="13"/>
      <c r="B159" s="13"/>
      <c r="C159" s="14"/>
    </row>
    <row r="160" spans="1:3" ht="12.75" x14ac:dyDescent="0.2">
      <c r="A160" s="13"/>
      <c r="B160" s="13"/>
      <c r="C160" s="14"/>
    </row>
    <row r="161" spans="1:3" ht="12.75" x14ac:dyDescent="0.2">
      <c r="A161" s="13"/>
      <c r="B161" s="13"/>
      <c r="C161" s="14"/>
    </row>
    <row r="162" spans="1:3" ht="12.75" x14ac:dyDescent="0.2">
      <c r="A162" s="13"/>
      <c r="B162" s="13"/>
      <c r="C162" s="14"/>
    </row>
    <row r="163" spans="1:3" ht="12.75" x14ac:dyDescent="0.2">
      <c r="A163" s="13"/>
      <c r="B163" s="13"/>
      <c r="C163" s="14"/>
    </row>
    <row r="164" spans="1:3" ht="12.75" x14ac:dyDescent="0.2">
      <c r="A164" s="13"/>
      <c r="B164" s="13"/>
      <c r="C164" s="14"/>
    </row>
    <row r="165" spans="1:3" ht="12.75" x14ac:dyDescent="0.2">
      <c r="A165" s="13"/>
      <c r="B165" s="13"/>
      <c r="C165" s="14"/>
    </row>
    <row r="166" spans="1:3" ht="12.75" x14ac:dyDescent="0.2">
      <c r="A166" s="13"/>
      <c r="B166" s="13"/>
      <c r="C166" s="14"/>
    </row>
    <row r="167" spans="1:3" ht="12.75" x14ac:dyDescent="0.2">
      <c r="A167" s="13"/>
      <c r="B167" s="13"/>
      <c r="C167" s="14"/>
    </row>
    <row r="168" spans="1:3" ht="12.75" x14ac:dyDescent="0.2">
      <c r="A168" s="13"/>
      <c r="B168" s="13"/>
      <c r="C168" s="14"/>
    </row>
    <row r="169" spans="1:3" ht="12.75" x14ac:dyDescent="0.2">
      <c r="A169" s="13"/>
      <c r="B169" s="13"/>
      <c r="C169" s="14"/>
    </row>
    <row r="170" spans="1:3" ht="12.75" x14ac:dyDescent="0.2">
      <c r="A170" s="13"/>
      <c r="B170" s="13"/>
      <c r="C170" s="14"/>
    </row>
    <row r="171" spans="1:3" ht="12.75" x14ac:dyDescent="0.2">
      <c r="A171" s="13"/>
      <c r="B171" s="13"/>
      <c r="C171" s="14"/>
    </row>
    <row r="172" spans="1:3" ht="12.75" x14ac:dyDescent="0.2">
      <c r="A172" s="13"/>
      <c r="B172" s="13"/>
      <c r="C172" s="14"/>
    </row>
    <row r="173" spans="1:3" ht="12.75" x14ac:dyDescent="0.2">
      <c r="A173" s="13"/>
      <c r="B173" s="13"/>
      <c r="C173" s="14"/>
    </row>
    <row r="174" spans="1:3" ht="12.75" x14ac:dyDescent="0.2">
      <c r="A174" s="13"/>
      <c r="B174" s="13"/>
      <c r="C174" s="14"/>
    </row>
    <row r="175" spans="1:3" ht="12.75" x14ac:dyDescent="0.2">
      <c r="A175" s="13"/>
      <c r="B175" s="13"/>
      <c r="C175" s="14"/>
    </row>
    <row r="176" spans="1:3" ht="12.75" x14ac:dyDescent="0.2">
      <c r="A176" s="13"/>
      <c r="B176" s="13"/>
      <c r="C176" s="14"/>
    </row>
    <row r="177" spans="1:3" ht="12.75" x14ac:dyDescent="0.2">
      <c r="A177" s="13"/>
      <c r="B177" s="13"/>
      <c r="C177" s="14"/>
    </row>
    <row r="178" spans="1:3" ht="12.75" x14ac:dyDescent="0.2">
      <c r="A178" s="13"/>
      <c r="B178" s="13"/>
      <c r="C178" s="14"/>
    </row>
    <row r="179" spans="1:3" ht="12.75" x14ac:dyDescent="0.2">
      <c r="A179" s="13"/>
      <c r="B179" s="13"/>
      <c r="C179" s="14"/>
    </row>
    <row r="180" spans="1:3" ht="12.75" x14ac:dyDescent="0.2">
      <c r="A180" s="13"/>
      <c r="B180" s="13"/>
      <c r="C180" s="14"/>
    </row>
    <row r="181" spans="1:3" ht="12.75" x14ac:dyDescent="0.2">
      <c r="A181" s="13"/>
      <c r="B181" s="13"/>
      <c r="C181" s="14"/>
    </row>
    <row r="182" spans="1:3" ht="12.75" x14ac:dyDescent="0.2">
      <c r="A182" s="13"/>
      <c r="B182" s="13"/>
      <c r="C182" s="14"/>
    </row>
    <row r="183" spans="1:3" ht="12.75" x14ac:dyDescent="0.2">
      <c r="A183" s="13"/>
      <c r="B183" s="13"/>
      <c r="C183" s="14"/>
    </row>
    <row r="184" spans="1:3" ht="12.75" x14ac:dyDescent="0.2">
      <c r="A184" s="13"/>
      <c r="B184" s="13"/>
      <c r="C184" s="14"/>
    </row>
    <row r="185" spans="1:3" ht="12.75" x14ac:dyDescent="0.2">
      <c r="A185" s="13"/>
      <c r="B185" s="13"/>
      <c r="C185" s="14"/>
    </row>
    <row r="186" spans="1:3" ht="12.75" x14ac:dyDescent="0.2">
      <c r="A186" s="13"/>
      <c r="B186" s="13"/>
      <c r="C186" s="14"/>
    </row>
    <row r="187" spans="1:3" ht="12.75" x14ac:dyDescent="0.2">
      <c r="A187" s="13"/>
      <c r="B187" s="13"/>
      <c r="C187" s="14"/>
    </row>
    <row r="188" spans="1:3" ht="12.75" x14ac:dyDescent="0.2">
      <c r="A188" s="13"/>
      <c r="B188" s="13"/>
      <c r="C188" s="14"/>
    </row>
    <row r="189" spans="1:3" ht="12.75" x14ac:dyDescent="0.2">
      <c r="A189" s="13"/>
      <c r="B189" s="13"/>
      <c r="C189" s="14"/>
    </row>
    <row r="190" spans="1:3" ht="12.75" x14ac:dyDescent="0.2">
      <c r="A190" s="13"/>
      <c r="B190" s="13"/>
      <c r="C190" s="14"/>
    </row>
    <row r="191" spans="1:3" ht="12.75" x14ac:dyDescent="0.2">
      <c r="A191" s="13"/>
      <c r="B191" s="13"/>
      <c r="C191" s="14"/>
    </row>
    <row r="192" spans="1:3" ht="12.75" x14ac:dyDescent="0.2">
      <c r="A192" s="13"/>
      <c r="B192" s="13"/>
      <c r="C192" s="14"/>
    </row>
    <row r="193" spans="1:3" ht="12.75" x14ac:dyDescent="0.2">
      <c r="A193" s="13"/>
      <c r="B193" s="13"/>
      <c r="C193" s="14"/>
    </row>
    <row r="194" spans="1:3" ht="12.75" x14ac:dyDescent="0.2">
      <c r="A194" s="13"/>
      <c r="B194" s="13"/>
      <c r="C194" s="14"/>
    </row>
    <row r="195" spans="1:3" ht="12.75" x14ac:dyDescent="0.2">
      <c r="A195" s="13"/>
      <c r="B195" s="13"/>
      <c r="C195" s="14"/>
    </row>
    <row r="196" spans="1:3" ht="12.75" x14ac:dyDescent="0.2">
      <c r="A196" s="13"/>
      <c r="B196" s="13"/>
      <c r="C196" s="14"/>
    </row>
    <row r="197" spans="1:3" ht="12.75" x14ac:dyDescent="0.2">
      <c r="A197" s="13"/>
      <c r="B197" s="13"/>
      <c r="C197" s="14"/>
    </row>
    <row r="198" spans="1:3" ht="12.75" x14ac:dyDescent="0.2">
      <c r="A198" s="13"/>
      <c r="B198" s="13"/>
      <c r="C198" s="14"/>
    </row>
    <row r="199" spans="1:3" ht="12.75" x14ac:dyDescent="0.2">
      <c r="A199" s="13"/>
      <c r="B199" s="13"/>
      <c r="C199" s="14"/>
    </row>
    <row r="200" spans="1:3" ht="12.75" x14ac:dyDescent="0.2">
      <c r="A200" s="13"/>
      <c r="B200" s="13"/>
      <c r="C200" s="14"/>
    </row>
    <row r="201" spans="1:3" ht="12.75" x14ac:dyDescent="0.2">
      <c r="A201" s="13"/>
      <c r="B201" s="13"/>
      <c r="C201" s="14"/>
    </row>
    <row r="202" spans="1:3" ht="12.75" x14ac:dyDescent="0.2">
      <c r="A202" s="13"/>
      <c r="B202" s="13"/>
      <c r="C202" s="14"/>
    </row>
    <row r="203" spans="1:3" ht="12.75" x14ac:dyDescent="0.2">
      <c r="A203" s="13"/>
      <c r="B203" s="13"/>
      <c r="C203" s="14"/>
    </row>
    <row r="204" spans="1:3" ht="12.75" x14ac:dyDescent="0.2">
      <c r="A204" s="13"/>
      <c r="B204" s="13"/>
      <c r="C204" s="14"/>
    </row>
    <row r="205" spans="1:3" ht="12.75" x14ac:dyDescent="0.2">
      <c r="A205" s="13"/>
      <c r="B205" s="13"/>
      <c r="C205" s="14"/>
    </row>
    <row r="206" spans="1:3" ht="12.75" x14ac:dyDescent="0.2">
      <c r="A206" s="13"/>
      <c r="B206" s="13"/>
      <c r="C206" s="14"/>
    </row>
    <row r="207" spans="1:3" ht="12.75" x14ac:dyDescent="0.2">
      <c r="A207" s="13"/>
      <c r="B207" s="13"/>
      <c r="C207" s="14"/>
    </row>
    <row r="208" spans="1:3" ht="12.75" x14ac:dyDescent="0.2">
      <c r="A208" s="13"/>
      <c r="B208" s="13"/>
      <c r="C208" s="14"/>
    </row>
    <row r="209" spans="1:3" ht="12.75" x14ac:dyDescent="0.2">
      <c r="A209" s="13"/>
      <c r="B209" s="13"/>
      <c r="C209" s="14"/>
    </row>
    <row r="210" spans="1:3" ht="12.75" x14ac:dyDescent="0.2">
      <c r="A210" s="13"/>
      <c r="B210" s="13"/>
      <c r="C210" s="14"/>
    </row>
    <row r="211" spans="1:3" ht="12.75" x14ac:dyDescent="0.2">
      <c r="A211" s="13"/>
      <c r="B211" s="13"/>
      <c r="C211" s="14"/>
    </row>
    <row r="212" spans="1:3" ht="12.75" x14ac:dyDescent="0.2">
      <c r="A212" s="13"/>
      <c r="B212" s="13"/>
      <c r="C212" s="14"/>
    </row>
    <row r="213" spans="1:3" ht="12.75" x14ac:dyDescent="0.2">
      <c r="A213" s="13"/>
      <c r="B213" s="13"/>
      <c r="C213" s="14"/>
    </row>
    <row r="214" spans="1:3" ht="12.75" x14ac:dyDescent="0.2">
      <c r="A214" s="13"/>
      <c r="B214" s="13"/>
      <c r="C214" s="14"/>
    </row>
    <row r="215" spans="1:3" ht="12.75" x14ac:dyDescent="0.2">
      <c r="A215" s="13"/>
      <c r="B215" s="13"/>
      <c r="C215" s="14"/>
    </row>
    <row r="216" spans="1:3" ht="12.75" x14ac:dyDescent="0.2">
      <c r="A216" s="13"/>
      <c r="B216" s="13"/>
      <c r="C216" s="14"/>
    </row>
    <row r="217" spans="1:3" ht="12.75" x14ac:dyDescent="0.2">
      <c r="A217" s="13"/>
      <c r="B217" s="13"/>
      <c r="C217" s="14"/>
    </row>
    <row r="218" spans="1:3" ht="12.75" x14ac:dyDescent="0.2">
      <c r="A218" s="13"/>
      <c r="B218" s="13"/>
      <c r="C218" s="14"/>
    </row>
    <row r="219" spans="1:3" ht="12.75" x14ac:dyDescent="0.2">
      <c r="A219" s="13"/>
      <c r="B219" s="13"/>
      <c r="C219" s="14"/>
    </row>
    <row r="220" spans="1:3" ht="12.75" x14ac:dyDescent="0.2">
      <c r="A220" s="13"/>
      <c r="B220" s="13"/>
      <c r="C220" s="14"/>
    </row>
    <row r="221" spans="1:3" ht="12.75" x14ac:dyDescent="0.2">
      <c r="A221" s="13"/>
      <c r="B221" s="13"/>
      <c r="C221" s="14"/>
    </row>
    <row r="222" spans="1:3" ht="12.75" x14ac:dyDescent="0.2">
      <c r="A222" s="13"/>
      <c r="B222" s="13"/>
      <c r="C222" s="14"/>
    </row>
    <row r="223" spans="1:3" ht="12.75" x14ac:dyDescent="0.2">
      <c r="A223" s="13"/>
      <c r="B223" s="13"/>
      <c r="C223" s="14"/>
    </row>
    <row r="224" spans="1:3" ht="12.75" x14ac:dyDescent="0.2">
      <c r="A224" s="13"/>
      <c r="B224" s="13"/>
      <c r="C224" s="14"/>
    </row>
    <row r="225" spans="1:3" ht="12.75" x14ac:dyDescent="0.2">
      <c r="A225" s="13"/>
      <c r="B225" s="13"/>
      <c r="C225" s="14"/>
    </row>
    <row r="226" spans="1:3" ht="12.75" x14ac:dyDescent="0.2">
      <c r="A226" s="13"/>
      <c r="B226" s="13"/>
      <c r="C226" s="14"/>
    </row>
    <row r="227" spans="1:3" ht="12.75" x14ac:dyDescent="0.2">
      <c r="A227" s="13"/>
      <c r="B227" s="13"/>
      <c r="C227" s="14"/>
    </row>
    <row r="228" spans="1:3" ht="12.75" x14ac:dyDescent="0.2">
      <c r="A228" s="13"/>
      <c r="B228" s="13"/>
      <c r="C228" s="14"/>
    </row>
    <row r="229" spans="1:3" ht="12.75" x14ac:dyDescent="0.2">
      <c r="A229" s="13"/>
      <c r="B229" s="13"/>
      <c r="C229" s="14"/>
    </row>
    <row r="230" spans="1:3" ht="12.75" x14ac:dyDescent="0.2">
      <c r="A230" s="13"/>
      <c r="B230" s="13"/>
      <c r="C230" s="14"/>
    </row>
    <row r="231" spans="1:3" ht="12.75" x14ac:dyDescent="0.2">
      <c r="A231" s="13"/>
      <c r="B231" s="13"/>
      <c r="C231" s="14"/>
    </row>
    <row r="232" spans="1:3" ht="12.75" x14ac:dyDescent="0.2">
      <c r="A232" s="13"/>
      <c r="B232" s="13"/>
      <c r="C232" s="14"/>
    </row>
    <row r="233" spans="1:3" ht="12.75" x14ac:dyDescent="0.2">
      <c r="A233" s="13"/>
      <c r="B233" s="13"/>
      <c r="C233" s="14"/>
    </row>
    <row r="234" spans="1:3" ht="12.75" x14ac:dyDescent="0.2">
      <c r="A234" s="13"/>
      <c r="B234" s="13"/>
      <c r="C234" s="14"/>
    </row>
    <row r="235" spans="1:3" ht="12.75" x14ac:dyDescent="0.2">
      <c r="A235" s="13"/>
      <c r="B235" s="13"/>
      <c r="C235" s="14"/>
    </row>
    <row r="236" spans="1:3" ht="12.75" x14ac:dyDescent="0.2">
      <c r="A236" s="13"/>
      <c r="B236" s="13"/>
      <c r="C236" s="14"/>
    </row>
    <row r="237" spans="1:3" ht="12.75" x14ac:dyDescent="0.2">
      <c r="A237" s="13"/>
      <c r="B237" s="13"/>
      <c r="C237" s="14"/>
    </row>
    <row r="238" spans="1:3" ht="12.75" x14ac:dyDescent="0.2">
      <c r="A238" s="13"/>
      <c r="B238" s="13"/>
      <c r="C238" s="14"/>
    </row>
    <row r="239" spans="1:3" ht="12.75" x14ac:dyDescent="0.2">
      <c r="A239" s="13"/>
      <c r="B239" s="13"/>
      <c r="C239" s="14"/>
    </row>
    <row r="240" spans="1:3" ht="12.75" x14ac:dyDescent="0.2">
      <c r="A240" s="13"/>
      <c r="B240" s="13"/>
      <c r="C240" s="14"/>
    </row>
    <row r="241" spans="1:3" ht="12.75" x14ac:dyDescent="0.2">
      <c r="A241" s="13"/>
      <c r="B241" s="13"/>
      <c r="C241" s="14"/>
    </row>
    <row r="242" spans="1:3" ht="12.75" x14ac:dyDescent="0.2">
      <c r="A242" s="13"/>
      <c r="B242" s="13"/>
      <c r="C242" s="14"/>
    </row>
    <row r="243" spans="1:3" ht="12.75" x14ac:dyDescent="0.2">
      <c r="A243" s="13"/>
      <c r="B243" s="13"/>
      <c r="C243" s="14"/>
    </row>
    <row r="244" spans="1:3" ht="12.75" x14ac:dyDescent="0.2">
      <c r="A244" s="13"/>
      <c r="B244" s="13"/>
      <c r="C244" s="14"/>
    </row>
    <row r="245" spans="1:3" ht="12.75" x14ac:dyDescent="0.2">
      <c r="A245" s="13"/>
      <c r="B245" s="13"/>
      <c r="C245" s="14"/>
    </row>
    <row r="246" spans="1:3" ht="12.75" x14ac:dyDescent="0.2">
      <c r="A246" s="13"/>
      <c r="B246" s="13"/>
      <c r="C246" s="14"/>
    </row>
    <row r="247" spans="1:3" ht="12.75" x14ac:dyDescent="0.2">
      <c r="A247" s="13"/>
      <c r="B247" s="13"/>
      <c r="C247" s="14"/>
    </row>
    <row r="248" spans="1:3" ht="12.75" x14ac:dyDescent="0.2">
      <c r="A248" s="13"/>
      <c r="B248" s="13"/>
      <c r="C248" s="14"/>
    </row>
    <row r="249" spans="1:3" ht="12.75" x14ac:dyDescent="0.2">
      <c r="A249" s="13"/>
      <c r="B249" s="13"/>
      <c r="C249" s="14"/>
    </row>
    <row r="250" spans="1:3" ht="12.75" x14ac:dyDescent="0.2">
      <c r="A250" s="13"/>
      <c r="B250" s="13"/>
      <c r="C250" s="14"/>
    </row>
    <row r="251" spans="1:3" ht="12.75" x14ac:dyDescent="0.2">
      <c r="A251" s="13"/>
      <c r="B251" s="13"/>
      <c r="C251" s="14"/>
    </row>
    <row r="252" spans="1:3" ht="12.75" x14ac:dyDescent="0.2">
      <c r="A252" s="13"/>
      <c r="B252" s="13"/>
      <c r="C252" s="14"/>
    </row>
    <row r="253" spans="1:3" ht="12.75" x14ac:dyDescent="0.2">
      <c r="A253" s="13"/>
      <c r="B253" s="13"/>
      <c r="C253" s="14"/>
    </row>
    <row r="254" spans="1:3" ht="12.75" x14ac:dyDescent="0.2">
      <c r="A254" s="13"/>
      <c r="B254" s="13"/>
      <c r="C254" s="14"/>
    </row>
    <row r="255" spans="1:3" ht="12.75" x14ac:dyDescent="0.2">
      <c r="A255" s="13"/>
      <c r="B255" s="13"/>
      <c r="C255" s="14"/>
    </row>
    <row r="256" spans="1:3" ht="12.75" x14ac:dyDescent="0.2">
      <c r="A256" s="13"/>
      <c r="B256" s="13"/>
      <c r="C256" s="14"/>
    </row>
    <row r="257" spans="1:3" ht="12.75" x14ac:dyDescent="0.2">
      <c r="A257" s="13"/>
      <c r="B257" s="13"/>
      <c r="C257" s="14"/>
    </row>
    <row r="258" spans="1:3" ht="12.75" x14ac:dyDescent="0.2">
      <c r="A258" s="13"/>
      <c r="B258" s="13"/>
      <c r="C258" s="14"/>
    </row>
    <row r="259" spans="1:3" ht="12.75" x14ac:dyDescent="0.2">
      <c r="A259" s="13"/>
      <c r="B259" s="13"/>
      <c r="C259" s="14"/>
    </row>
    <row r="260" spans="1:3" ht="12.75" x14ac:dyDescent="0.2">
      <c r="A260" s="13"/>
      <c r="B260" s="13"/>
      <c r="C260" s="14"/>
    </row>
    <row r="261" spans="1:3" ht="12.75" x14ac:dyDescent="0.2">
      <c r="A261" s="13"/>
      <c r="B261" s="13"/>
      <c r="C261" s="14"/>
    </row>
    <row r="262" spans="1:3" ht="12.75" x14ac:dyDescent="0.2">
      <c r="A262" s="13"/>
      <c r="B262" s="13"/>
      <c r="C262" s="14"/>
    </row>
    <row r="263" spans="1:3" ht="12.75" x14ac:dyDescent="0.2">
      <c r="A263" s="13"/>
      <c r="B263" s="13"/>
      <c r="C263" s="14"/>
    </row>
    <row r="264" spans="1:3" ht="12.75" x14ac:dyDescent="0.2">
      <c r="A264" s="13"/>
      <c r="B264" s="13"/>
      <c r="C264" s="14"/>
    </row>
    <row r="265" spans="1:3" ht="12.75" x14ac:dyDescent="0.2">
      <c r="A265" s="13"/>
      <c r="B265" s="13"/>
      <c r="C265" s="14"/>
    </row>
    <row r="266" spans="1:3" ht="12.75" x14ac:dyDescent="0.2">
      <c r="A266" s="13"/>
      <c r="B266" s="13"/>
      <c r="C266" s="14"/>
    </row>
    <row r="267" spans="1:3" ht="12.75" x14ac:dyDescent="0.2">
      <c r="A267" s="13"/>
      <c r="B267" s="13"/>
      <c r="C267" s="14"/>
    </row>
    <row r="268" spans="1:3" ht="12.75" x14ac:dyDescent="0.2">
      <c r="A268" s="13"/>
      <c r="B268" s="13"/>
      <c r="C268" s="14"/>
    </row>
    <row r="269" spans="1:3" ht="12.75" x14ac:dyDescent="0.2">
      <c r="A269" s="13"/>
      <c r="B269" s="13"/>
      <c r="C269" s="14"/>
    </row>
    <row r="270" spans="1:3" ht="12.75" x14ac:dyDescent="0.2">
      <c r="A270" s="13"/>
      <c r="B270" s="13"/>
      <c r="C270" s="14"/>
    </row>
    <row r="271" spans="1:3" ht="12.75" x14ac:dyDescent="0.2">
      <c r="A271" s="13"/>
      <c r="B271" s="13"/>
      <c r="C271" s="14"/>
    </row>
    <row r="272" spans="1:3" ht="12.75" x14ac:dyDescent="0.2">
      <c r="A272" s="13"/>
      <c r="B272" s="13"/>
      <c r="C272" s="14"/>
    </row>
    <row r="273" spans="1:3" ht="12.75" x14ac:dyDescent="0.2">
      <c r="A273" s="13"/>
      <c r="B273" s="13"/>
      <c r="C273" s="14"/>
    </row>
    <row r="274" spans="1:3" ht="12.75" x14ac:dyDescent="0.2">
      <c r="A274" s="13"/>
      <c r="B274" s="13"/>
      <c r="C274" s="14"/>
    </row>
    <row r="275" spans="1:3" ht="12.75" x14ac:dyDescent="0.2">
      <c r="A275" s="13"/>
      <c r="B275" s="13"/>
      <c r="C275" s="14"/>
    </row>
    <row r="276" spans="1:3" ht="12.75" x14ac:dyDescent="0.2">
      <c r="A276" s="13"/>
      <c r="B276" s="13"/>
      <c r="C276" s="14"/>
    </row>
    <row r="277" spans="1:3" ht="12.75" x14ac:dyDescent="0.2">
      <c r="A277" s="13"/>
      <c r="B277" s="13"/>
      <c r="C277" s="14"/>
    </row>
    <row r="278" spans="1:3" ht="12.75" x14ac:dyDescent="0.2">
      <c r="A278" s="13"/>
      <c r="B278" s="13"/>
      <c r="C278" s="14"/>
    </row>
    <row r="279" spans="1:3" ht="12.75" x14ac:dyDescent="0.2">
      <c r="A279" s="13"/>
      <c r="B279" s="13"/>
      <c r="C279" s="14"/>
    </row>
    <row r="280" spans="1:3" ht="12.75" x14ac:dyDescent="0.2">
      <c r="A280" s="13"/>
      <c r="B280" s="13"/>
      <c r="C280" s="14"/>
    </row>
    <row r="281" spans="1:3" ht="12.75" x14ac:dyDescent="0.2">
      <c r="A281" s="13"/>
      <c r="B281" s="13"/>
      <c r="C281" s="14"/>
    </row>
    <row r="282" spans="1:3" ht="12.75" x14ac:dyDescent="0.2">
      <c r="A282" s="13"/>
      <c r="B282" s="13"/>
      <c r="C282" s="14"/>
    </row>
    <row r="283" spans="1:3" ht="12.75" x14ac:dyDescent="0.2">
      <c r="A283" s="13"/>
      <c r="B283" s="13"/>
      <c r="C283" s="14"/>
    </row>
    <row r="284" spans="1:3" ht="12.75" x14ac:dyDescent="0.2">
      <c r="A284" s="13"/>
      <c r="B284" s="13"/>
      <c r="C284" s="14"/>
    </row>
    <row r="285" spans="1:3" ht="12.75" x14ac:dyDescent="0.2">
      <c r="A285" s="13"/>
      <c r="B285" s="13"/>
      <c r="C285" s="14"/>
    </row>
    <row r="286" spans="1:3" ht="12.75" x14ac:dyDescent="0.2">
      <c r="A286" s="13"/>
      <c r="B286" s="13"/>
      <c r="C286" s="14"/>
    </row>
    <row r="287" spans="1:3" ht="12.75" x14ac:dyDescent="0.2">
      <c r="A287" s="13"/>
      <c r="B287" s="13"/>
      <c r="C287" s="14"/>
    </row>
    <row r="288" spans="1:3" ht="12.75" x14ac:dyDescent="0.2">
      <c r="A288" s="13"/>
      <c r="B288" s="13"/>
      <c r="C288" s="14"/>
    </row>
    <row r="289" spans="1:3" ht="12.75" x14ac:dyDescent="0.2">
      <c r="A289" s="13"/>
      <c r="B289" s="13"/>
      <c r="C289" s="14"/>
    </row>
    <row r="290" spans="1:3" ht="12.75" x14ac:dyDescent="0.2">
      <c r="A290" s="13"/>
      <c r="B290" s="13"/>
      <c r="C290" s="14"/>
    </row>
    <row r="291" spans="1:3" ht="12.75" x14ac:dyDescent="0.2">
      <c r="A291" s="13"/>
      <c r="B291" s="13"/>
      <c r="C291" s="14"/>
    </row>
    <row r="292" spans="1:3" ht="12.75" x14ac:dyDescent="0.2">
      <c r="A292" s="13"/>
      <c r="B292" s="13"/>
      <c r="C292" s="14"/>
    </row>
    <row r="293" spans="1:3" ht="12.75" x14ac:dyDescent="0.2">
      <c r="A293" s="13"/>
      <c r="B293" s="13"/>
      <c r="C293" s="14"/>
    </row>
    <row r="294" spans="1:3" ht="12.75" x14ac:dyDescent="0.2">
      <c r="A294" s="13"/>
      <c r="B294" s="13"/>
      <c r="C294" s="14"/>
    </row>
    <row r="295" spans="1:3" ht="12.75" x14ac:dyDescent="0.2">
      <c r="A295" s="13"/>
      <c r="B295" s="13"/>
      <c r="C295" s="14"/>
    </row>
    <row r="296" spans="1:3" ht="12.75" x14ac:dyDescent="0.2">
      <c r="A296" s="13"/>
      <c r="B296" s="13"/>
      <c r="C296" s="14"/>
    </row>
    <row r="297" spans="1:3" ht="12.75" x14ac:dyDescent="0.2">
      <c r="A297" s="13"/>
      <c r="B297" s="13"/>
      <c r="C297" s="14"/>
    </row>
    <row r="298" spans="1:3" ht="12.75" x14ac:dyDescent="0.2">
      <c r="A298" s="13"/>
      <c r="B298" s="13"/>
      <c r="C298" s="14"/>
    </row>
    <row r="299" spans="1:3" ht="12.75" x14ac:dyDescent="0.2">
      <c r="A299" s="13"/>
      <c r="B299" s="13"/>
      <c r="C299" s="14"/>
    </row>
    <row r="300" spans="1:3" ht="12.75" x14ac:dyDescent="0.2">
      <c r="A300" s="13"/>
      <c r="B300" s="13"/>
      <c r="C300" s="14"/>
    </row>
    <row r="301" spans="1:3" ht="12.75" x14ac:dyDescent="0.2">
      <c r="A301" s="13"/>
      <c r="B301" s="13"/>
      <c r="C301" s="14"/>
    </row>
    <row r="302" spans="1:3" ht="12.75" x14ac:dyDescent="0.2">
      <c r="A302" s="13"/>
      <c r="B302" s="13"/>
      <c r="C302" s="14"/>
    </row>
    <row r="303" spans="1:3" ht="12.75" x14ac:dyDescent="0.2">
      <c r="A303" s="13"/>
      <c r="B303" s="13"/>
      <c r="C303" s="14"/>
    </row>
    <row r="304" spans="1:3" ht="12.75" x14ac:dyDescent="0.2">
      <c r="A304" s="13"/>
      <c r="B304" s="13"/>
      <c r="C304" s="14"/>
    </row>
    <row r="305" spans="1:3" ht="12.75" x14ac:dyDescent="0.2">
      <c r="A305" s="13"/>
      <c r="B305" s="13"/>
      <c r="C305" s="14"/>
    </row>
    <row r="306" spans="1:3" ht="12.75" x14ac:dyDescent="0.2">
      <c r="A306" s="13"/>
      <c r="B306" s="13"/>
      <c r="C306" s="14"/>
    </row>
    <row r="307" spans="1:3" ht="12.75" x14ac:dyDescent="0.2">
      <c r="A307" s="13"/>
      <c r="B307" s="13"/>
      <c r="C307" s="14"/>
    </row>
    <row r="308" spans="1:3" ht="12.75" x14ac:dyDescent="0.2">
      <c r="A308" s="13"/>
      <c r="B308" s="13"/>
      <c r="C308" s="14"/>
    </row>
    <row r="309" spans="1:3" ht="12.75" x14ac:dyDescent="0.2">
      <c r="A309" s="13"/>
      <c r="B309" s="13"/>
      <c r="C309" s="14"/>
    </row>
    <row r="310" spans="1:3" ht="12.75" x14ac:dyDescent="0.2">
      <c r="A310" s="13"/>
      <c r="B310" s="13"/>
      <c r="C310" s="14"/>
    </row>
    <row r="311" spans="1:3" ht="12.75" x14ac:dyDescent="0.2">
      <c r="A311" s="13"/>
      <c r="B311" s="13"/>
      <c r="C311" s="14"/>
    </row>
    <row r="312" spans="1:3" ht="12.75" x14ac:dyDescent="0.2">
      <c r="A312" s="13"/>
      <c r="B312" s="13"/>
      <c r="C312" s="14"/>
    </row>
    <row r="313" spans="1:3" ht="12.75" x14ac:dyDescent="0.2">
      <c r="A313" s="13"/>
      <c r="B313" s="13"/>
      <c r="C313" s="14"/>
    </row>
    <row r="314" spans="1:3" ht="12.75" x14ac:dyDescent="0.2">
      <c r="A314" s="13"/>
      <c r="B314" s="13"/>
      <c r="C314" s="14"/>
    </row>
    <row r="315" spans="1:3" ht="12.75" x14ac:dyDescent="0.2">
      <c r="A315" s="13"/>
      <c r="B315" s="13"/>
      <c r="C315" s="14"/>
    </row>
    <row r="316" spans="1:3" ht="12.75" x14ac:dyDescent="0.2">
      <c r="A316" s="13"/>
      <c r="B316" s="13"/>
      <c r="C316" s="14"/>
    </row>
    <row r="317" spans="1:3" ht="12.75" x14ac:dyDescent="0.2">
      <c r="A317" s="13"/>
      <c r="B317" s="13"/>
      <c r="C317" s="14"/>
    </row>
    <row r="318" spans="1:3" ht="12.75" x14ac:dyDescent="0.2">
      <c r="A318" s="13"/>
      <c r="B318" s="13"/>
      <c r="C318" s="14"/>
    </row>
    <row r="319" spans="1:3" ht="12.75" x14ac:dyDescent="0.2">
      <c r="A319" s="13"/>
      <c r="B319" s="13"/>
      <c r="C319" s="14"/>
    </row>
    <row r="320" spans="1:3" ht="12.75" x14ac:dyDescent="0.2">
      <c r="A320" s="13"/>
      <c r="B320" s="13"/>
      <c r="C320" s="14"/>
    </row>
    <row r="321" spans="1:3" ht="12.75" x14ac:dyDescent="0.2">
      <c r="A321" s="13"/>
      <c r="B321" s="13"/>
      <c r="C321" s="14"/>
    </row>
    <row r="322" spans="1:3" ht="12.75" x14ac:dyDescent="0.2">
      <c r="A322" s="13"/>
      <c r="B322" s="13"/>
      <c r="C322" s="14"/>
    </row>
    <row r="323" spans="1:3" ht="12.75" x14ac:dyDescent="0.2">
      <c r="A323" s="13"/>
      <c r="B323" s="13"/>
      <c r="C323" s="14"/>
    </row>
    <row r="324" spans="1:3" ht="12.75" x14ac:dyDescent="0.2">
      <c r="A324" s="13"/>
      <c r="B324" s="13"/>
      <c r="C324" s="14"/>
    </row>
    <row r="325" spans="1:3" ht="12.75" x14ac:dyDescent="0.2">
      <c r="A325" s="13"/>
      <c r="B325" s="13"/>
      <c r="C325" s="14"/>
    </row>
    <row r="326" spans="1:3" ht="12.75" x14ac:dyDescent="0.2">
      <c r="A326" s="13"/>
      <c r="B326" s="13"/>
      <c r="C326" s="14"/>
    </row>
    <row r="327" spans="1:3" ht="12.75" x14ac:dyDescent="0.2">
      <c r="A327" s="13"/>
      <c r="B327" s="13"/>
      <c r="C327" s="14"/>
    </row>
    <row r="328" spans="1:3" ht="12.75" x14ac:dyDescent="0.2">
      <c r="A328" s="13"/>
      <c r="B328" s="13"/>
      <c r="C328" s="14"/>
    </row>
    <row r="329" spans="1:3" ht="12.75" x14ac:dyDescent="0.2">
      <c r="A329" s="13"/>
      <c r="B329" s="13"/>
      <c r="C329" s="14"/>
    </row>
    <row r="330" spans="1:3" ht="12.75" x14ac:dyDescent="0.2">
      <c r="A330" s="13"/>
      <c r="B330" s="13"/>
      <c r="C330" s="14"/>
    </row>
    <row r="331" spans="1:3" ht="12.75" x14ac:dyDescent="0.2">
      <c r="A331" s="13"/>
      <c r="B331" s="13"/>
      <c r="C331" s="14"/>
    </row>
    <row r="332" spans="1:3" ht="12.75" x14ac:dyDescent="0.2">
      <c r="A332" s="13"/>
      <c r="B332" s="13"/>
      <c r="C332" s="14"/>
    </row>
    <row r="333" spans="1:3" ht="12.75" x14ac:dyDescent="0.2">
      <c r="A333" s="13"/>
      <c r="B333" s="13"/>
      <c r="C333" s="14"/>
    </row>
    <row r="334" spans="1:3" ht="12.75" x14ac:dyDescent="0.2">
      <c r="A334" s="13"/>
      <c r="B334" s="13"/>
      <c r="C334" s="14"/>
    </row>
    <row r="335" spans="1:3" ht="12.75" x14ac:dyDescent="0.2">
      <c r="A335" s="13"/>
      <c r="B335" s="13"/>
      <c r="C335" s="14"/>
    </row>
    <row r="336" spans="1:3" ht="12.75" x14ac:dyDescent="0.2">
      <c r="A336" s="13"/>
      <c r="B336" s="13"/>
      <c r="C336" s="14"/>
    </row>
    <row r="337" spans="1:3" ht="12.75" x14ac:dyDescent="0.2">
      <c r="A337" s="13"/>
      <c r="B337" s="13"/>
      <c r="C337" s="14"/>
    </row>
    <row r="338" spans="1:3" ht="12.75" x14ac:dyDescent="0.2">
      <c r="A338" s="13"/>
      <c r="B338" s="13"/>
      <c r="C338" s="14"/>
    </row>
    <row r="339" spans="1:3" ht="12.75" x14ac:dyDescent="0.2">
      <c r="A339" s="13"/>
      <c r="B339" s="13"/>
      <c r="C339" s="14"/>
    </row>
    <row r="340" spans="1:3" ht="12.75" x14ac:dyDescent="0.2">
      <c r="A340" s="13"/>
      <c r="B340" s="13"/>
      <c r="C340" s="14"/>
    </row>
    <row r="341" spans="1:3" ht="12.75" x14ac:dyDescent="0.2">
      <c r="A341" s="13"/>
      <c r="B341" s="13"/>
      <c r="C341" s="14"/>
    </row>
    <row r="342" spans="1:3" ht="12.75" x14ac:dyDescent="0.2">
      <c r="A342" s="13"/>
      <c r="B342" s="13"/>
      <c r="C342" s="14"/>
    </row>
    <row r="343" spans="1:3" ht="12.75" x14ac:dyDescent="0.2">
      <c r="A343" s="13"/>
      <c r="B343" s="13"/>
      <c r="C343" s="14"/>
    </row>
    <row r="344" spans="1:3" ht="12.75" x14ac:dyDescent="0.2">
      <c r="A344" s="13"/>
      <c r="B344" s="13"/>
      <c r="C344" s="14"/>
    </row>
    <row r="345" spans="1:3" ht="12.75" x14ac:dyDescent="0.2">
      <c r="A345" s="13"/>
      <c r="B345" s="13"/>
      <c r="C345" s="14"/>
    </row>
    <row r="346" spans="1:3" ht="12.75" x14ac:dyDescent="0.2">
      <c r="A346" s="13"/>
      <c r="B346" s="13"/>
      <c r="C346" s="14"/>
    </row>
    <row r="347" spans="1:3" ht="12.75" x14ac:dyDescent="0.2">
      <c r="A347" s="13"/>
      <c r="B347" s="13"/>
      <c r="C347" s="14"/>
    </row>
    <row r="348" spans="1:3" ht="12.75" x14ac:dyDescent="0.2">
      <c r="A348" s="13"/>
      <c r="B348" s="13"/>
      <c r="C348" s="14"/>
    </row>
    <row r="349" spans="1:3" ht="12.75" x14ac:dyDescent="0.2">
      <c r="A349" s="13"/>
      <c r="B349" s="13"/>
      <c r="C349" s="14"/>
    </row>
    <row r="350" spans="1:3" ht="12.75" x14ac:dyDescent="0.2">
      <c r="A350" s="13"/>
      <c r="B350" s="13"/>
      <c r="C350" s="14"/>
    </row>
    <row r="351" spans="1:3" ht="12.75" x14ac:dyDescent="0.2">
      <c r="A351" s="13"/>
      <c r="B351" s="13"/>
      <c r="C351" s="14"/>
    </row>
    <row r="352" spans="1:3" ht="12.75" x14ac:dyDescent="0.2">
      <c r="A352" s="13"/>
      <c r="B352" s="13"/>
      <c r="C352" s="14"/>
    </row>
    <row r="353" spans="1:3" ht="12.75" x14ac:dyDescent="0.2">
      <c r="A353" s="13"/>
      <c r="B353" s="13"/>
      <c r="C353" s="14"/>
    </row>
    <row r="354" spans="1:3" ht="12.75" x14ac:dyDescent="0.2">
      <c r="A354" s="13"/>
      <c r="B354" s="13"/>
      <c r="C354" s="14"/>
    </row>
    <row r="355" spans="1:3" ht="12.75" x14ac:dyDescent="0.2">
      <c r="A355" s="13"/>
      <c r="B355" s="13"/>
      <c r="C355" s="14"/>
    </row>
    <row r="356" spans="1:3" ht="12.75" x14ac:dyDescent="0.2">
      <c r="A356" s="13"/>
      <c r="B356" s="13"/>
      <c r="C356" s="14"/>
    </row>
    <row r="357" spans="1:3" ht="12.75" x14ac:dyDescent="0.2">
      <c r="A357" s="13"/>
      <c r="B357" s="13"/>
      <c r="C357" s="14"/>
    </row>
    <row r="358" spans="1:3" ht="12.75" x14ac:dyDescent="0.2">
      <c r="A358" s="13"/>
      <c r="B358" s="13"/>
      <c r="C358" s="14"/>
    </row>
    <row r="359" spans="1:3" ht="12.75" x14ac:dyDescent="0.2">
      <c r="A359" s="13"/>
      <c r="B359" s="13"/>
      <c r="C359" s="14"/>
    </row>
    <row r="360" spans="1:3" ht="12.75" x14ac:dyDescent="0.2">
      <c r="A360" s="13"/>
      <c r="B360" s="13"/>
      <c r="C360" s="14"/>
    </row>
    <row r="361" spans="1:3" ht="12.75" x14ac:dyDescent="0.2">
      <c r="A361" s="13"/>
      <c r="B361" s="13"/>
      <c r="C361" s="14"/>
    </row>
    <row r="362" spans="1:3" ht="12.75" x14ac:dyDescent="0.2">
      <c r="A362" s="13"/>
      <c r="B362" s="13"/>
      <c r="C362" s="14"/>
    </row>
    <row r="363" spans="1:3" ht="12.75" x14ac:dyDescent="0.2">
      <c r="A363" s="13"/>
      <c r="B363" s="13"/>
      <c r="C363" s="14"/>
    </row>
    <row r="364" spans="1:3" ht="12.75" x14ac:dyDescent="0.2">
      <c r="A364" s="13"/>
      <c r="B364" s="13"/>
      <c r="C364" s="14"/>
    </row>
    <row r="365" spans="1:3" ht="12.75" x14ac:dyDescent="0.2">
      <c r="A365" s="13"/>
      <c r="B365" s="13"/>
      <c r="C365" s="14"/>
    </row>
    <row r="366" spans="1:3" ht="12.75" x14ac:dyDescent="0.2">
      <c r="A366" s="13"/>
      <c r="B366" s="13"/>
      <c r="C366" s="14"/>
    </row>
    <row r="367" spans="1:3" ht="12.75" x14ac:dyDescent="0.2">
      <c r="A367" s="13"/>
      <c r="B367" s="13"/>
      <c r="C367" s="14"/>
    </row>
    <row r="368" spans="1:3" ht="12.75" x14ac:dyDescent="0.2">
      <c r="A368" s="13"/>
      <c r="B368" s="13"/>
      <c r="C368" s="14"/>
    </row>
    <row r="369" spans="1:3" ht="12.75" x14ac:dyDescent="0.2">
      <c r="A369" s="13"/>
      <c r="B369" s="13"/>
      <c r="C369" s="14"/>
    </row>
    <row r="370" spans="1:3" ht="12.75" x14ac:dyDescent="0.2">
      <c r="A370" s="13"/>
      <c r="B370" s="13"/>
      <c r="C370" s="14"/>
    </row>
    <row r="371" spans="1:3" ht="12.75" x14ac:dyDescent="0.2">
      <c r="A371" s="13"/>
      <c r="B371" s="13"/>
      <c r="C371" s="14"/>
    </row>
    <row r="372" spans="1:3" ht="12.75" x14ac:dyDescent="0.2">
      <c r="A372" s="13"/>
      <c r="B372" s="13"/>
      <c r="C372" s="14"/>
    </row>
    <row r="373" spans="1:3" ht="12.75" x14ac:dyDescent="0.2">
      <c r="A373" s="13"/>
      <c r="B373" s="13"/>
      <c r="C373" s="14"/>
    </row>
    <row r="374" spans="1:3" ht="12.75" x14ac:dyDescent="0.2">
      <c r="A374" s="13"/>
      <c r="B374" s="13"/>
      <c r="C374" s="14"/>
    </row>
    <row r="375" spans="1:3" ht="12.75" x14ac:dyDescent="0.2">
      <c r="A375" s="13"/>
      <c r="B375" s="13"/>
      <c r="C375" s="14"/>
    </row>
    <row r="376" spans="1:3" ht="12.75" x14ac:dyDescent="0.2">
      <c r="A376" s="13"/>
      <c r="B376" s="13"/>
      <c r="C376" s="14"/>
    </row>
    <row r="377" spans="1:3" ht="12.75" x14ac:dyDescent="0.2">
      <c r="A377" s="13"/>
      <c r="B377" s="13"/>
      <c r="C377" s="14"/>
    </row>
    <row r="378" spans="1:3" ht="12.75" x14ac:dyDescent="0.2">
      <c r="A378" s="13"/>
      <c r="B378" s="13"/>
      <c r="C378" s="14"/>
    </row>
    <row r="379" spans="1:3" ht="12.75" x14ac:dyDescent="0.2">
      <c r="A379" s="13"/>
      <c r="B379" s="13"/>
      <c r="C379" s="14"/>
    </row>
    <row r="380" spans="1:3" ht="12.75" x14ac:dyDescent="0.2">
      <c r="A380" s="13"/>
      <c r="B380" s="13"/>
      <c r="C380" s="14"/>
    </row>
    <row r="381" spans="1:3" ht="12.75" x14ac:dyDescent="0.2">
      <c r="A381" s="13"/>
      <c r="B381" s="13"/>
      <c r="C381" s="14"/>
    </row>
    <row r="382" spans="1:3" ht="12.75" x14ac:dyDescent="0.2">
      <c r="A382" s="13"/>
      <c r="B382" s="13"/>
      <c r="C382" s="14"/>
    </row>
    <row r="383" spans="1:3" ht="12.75" x14ac:dyDescent="0.2">
      <c r="A383" s="13"/>
      <c r="B383" s="13"/>
      <c r="C383" s="14"/>
    </row>
    <row r="384" spans="1:3" ht="12.75" x14ac:dyDescent="0.2">
      <c r="A384" s="13"/>
      <c r="B384" s="13"/>
      <c r="C384" s="14"/>
    </row>
    <row r="385" spans="1:3" ht="12.75" x14ac:dyDescent="0.2">
      <c r="A385" s="13"/>
      <c r="B385" s="13"/>
      <c r="C385" s="14"/>
    </row>
    <row r="386" spans="1:3" ht="12.75" x14ac:dyDescent="0.2">
      <c r="A386" s="13"/>
      <c r="B386" s="13"/>
      <c r="C386" s="14"/>
    </row>
    <row r="387" spans="1:3" ht="12.75" x14ac:dyDescent="0.2">
      <c r="A387" s="13"/>
      <c r="B387" s="13"/>
      <c r="C387" s="14"/>
    </row>
    <row r="388" spans="1:3" ht="12.75" x14ac:dyDescent="0.2">
      <c r="A388" s="13"/>
      <c r="B388" s="13"/>
      <c r="C388" s="14"/>
    </row>
    <row r="389" spans="1:3" ht="12.75" x14ac:dyDescent="0.2">
      <c r="A389" s="13"/>
      <c r="B389" s="13"/>
      <c r="C389" s="14"/>
    </row>
    <row r="390" spans="1:3" ht="12.75" x14ac:dyDescent="0.2">
      <c r="A390" s="13"/>
      <c r="B390" s="13"/>
      <c r="C390" s="14"/>
    </row>
    <row r="391" spans="1:3" ht="12.75" x14ac:dyDescent="0.2">
      <c r="A391" s="13"/>
      <c r="B391" s="13"/>
      <c r="C391" s="14"/>
    </row>
    <row r="392" spans="1:3" ht="12.75" x14ac:dyDescent="0.2">
      <c r="A392" s="13"/>
      <c r="B392" s="13"/>
      <c r="C392" s="14"/>
    </row>
    <row r="393" spans="1:3" ht="12.75" x14ac:dyDescent="0.2">
      <c r="A393" s="13"/>
      <c r="B393" s="13"/>
      <c r="C393" s="14"/>
    </row>
    <row r="394" spans="1:3" ht="12.75" x14ac:dyDescent="0.2">
      <c r="A394" s="13"/>
      <c r="B394" s="13"/>
      <c r="C394" s="14"/>
    </row>
    <row r="395" spans="1:3" ht="12.75" x14ac:dyDescent="0.2">
      <c r="A395" s="13"/>
      <c r="B395" s="13"/>
      <c r="C395" s="14"/>
    </row>
    <row r="396" spans="1:3" ht="12.75" x14ac:dyDescent="0.2">
      <c r="A396" s="13"/>
      <c r="B396" s="13"/>
      <c r="C396" s="14"/>
    </row>
    <row r="397" spans="1:3" ht="12.75" x14ac:dyDescent="0.2">
      <c r="A397" s="13"/>
      <c r="B397" s="13"/>
      <c r="C397" s="14"/>
    </row>
    <row r="398" spans="1:3" ht="12.75" x14ac:dyDescent="0.2">
      <c r="A398" s="13"/>
      <c r="B398" s="13"/>
      <c r="C398" s="14"/>
    </row>
    <row r="399" spans="1:3" ht="12.75" x14ac:dyDescent="0.2">
      <c r="A399" s="13"/>
      <c r="B399" s="13"/>
      <c r="C399" s="14"/>
    </row>
    <row r="400" spans="1:3" ht="12.75" x14ac:dyDescent="0.2">
      <c r="A400" s="13"/>
      <c r="B400" s="13"/>
      <c r="C400" s="14"/>
    </row>
    <row r="401" spans="1:3" ht="12.75" x14ac:dyDescent="0.2">
      <c r="A401" s="13"/>
      <c r="B401" s="13"/>
      <c r="C401" s="14"/>
    </row>
    <row r="402" spans="1:3" ht="12.75" x14ac:dyDescent="0.2">
      <c r="A402" s="13"/>
      <c r="B402" s="13"/>
      <c r="C402" s="14"/>
    </row>
    <row r="403" spans="1:3" ht="12.75" x14ac:dyDescent="0.2">
      <c r="A403" s="13"/>
      <c r="B403" s="13"/>
      <c r="C403" s="14"/>
    </row>
    <row r="404" spans="1:3" ht="12.75" x14ac:dyDescent="0.2">
      <c r="A404" s="13"/>
      <c r="B404" s="13"/>
      <c r="C404" s="14"/>
    </row>
    <row r="405" spans="1:3" ht="12.75" x14ac:dyDescent="0.2">
      <c r="A405" s="13"/>
      <c r="B405" s="13"/>
      <c r="C405" s="14"/>
    </row>
    <row r="406" spans="1:3" ht="12.75" x14ac:dyDescent="0.2">
      <c r="A406" s="13"/>
      <c r="B406" s="13"/>
      <c r="C406" s="14"/>
    </row>
    <row r="407" spans="1:3" ht="12.75" x14ac:dyDescent="0.2">
      <c r="A407" s="13"/>
      <c r="B407" s="13"/>
      <c r="C407" s="14"/>
    </row>
    <row r="408" spans="1:3" ht="12.75" x14ac:dyDescent="0.2">
      <c r="A408" s="13"/>
      <c r="B408" s="13"/>
      <c r="C408" s="14"/>
    </row>
    <row r="409" spans="1:3" ht="12.75" x14ac:dyDescent="0.2">
      <c r="A409" s="13"/>
      <c r="B409" s="13"/>
      <c r="C409" s="14"/>
    </row>
    <row r="410" spans="1:3" ht="12.75" x14ac:dyDescent="0.2">
      <c r="A410" s="13"/>
      <c r="B410" s="13"/>
      <c r="C410" s="14"/>
    </row>
    <row r="411" spans="1:3" ht="12.75" x14ac:dyDescent="0.2">
      <c r="A411" s="13"/>
      <c r="B411" s="13"/>
      <c r="C411" s="14"/>
    </row>
    <row r="412" spans="1:3" ht="12.75" x14ac:dyDescent="0.2">
      <c r="A412" s="13"/>
      <c r="B412" s="13"/>
      <c r="C412" s="14"/>
    </row>
    <row r="413" spans="1:3" ht="12.75" x14ac:dyDescent="0.2">
      <c r="A413" s="13"/>
      <c r="B413" s="13"/>
      <c r="C413" s="14"/>
    </row>
    <row r="414" spans="1:3" ht="12.75" x14ac:dyDescent="0.2">
      <c r="A414" s="13"/>
      <c r="B414" s="13"/>
      <c r="C414" s="14"/>
    </row>
    <row r="415" spans="1:3" ht="12.75" x14ac:dyDescent="0.2">
      <c r="A415" s="13"/>
      <c r="B415" s="13"/>
      <c r="C415" s="14"/>
    </row>
    <row r="416" spans="1:3" ht="12.75" x14ac:dyDescent="0.2">
      <c r="A416" s="13"/>
      <c r="B416" s="13"/>
      <c r="C416" s="14"/>
    </row>
    <row r="417" spans="1:3" ht="12.75" x14ac:dyDescent="0.2">
      <c r="A417" s="13"/>
      <c r="B417" s="13"/>
      <c r="C417" s="14"/>
    </row>
    <row r="418" spans="1:3" ht="12.75" x14ac:dyDescent="0.2">
      <c r="A418" s="13"/>
      <c r="B418" s="13"/>
      <c r="C418" s="14"/>
    </row>
    <row r="419" spans="1:3" ht="12.75" x14ac:dyDescent="0.2">
      <c r="A419" s="13"/>
      <c r="B419" s="13"/>
      <c r="C419" s="14"/>
    </row>
    <row r="420" spans="1:3" ht="12.75" x14ac:dyDescent="0.2">
      <c r="A420" s="13"/>
      <c r="B420" s="13"/>
      <c r="C420" s="14"/>
    </row>
    <row r="421" spans="1:3" ht="12.75" x14ac:dyDescent="0.2">
      <c r="A421" s="13"/>
      <c r="B421" s="13"/>
      <c r="C421" s="14"/>
    </row>
    <row r="422" spans="1:3" ht="12.75" x14ac:dyDescent="0.2">
      <c r="A422" s="13"/>
      <c r="B422" s="13"/>
      <c r="C422" s="14"/>
    </row>
    <row r="423" spans="1:3" ht="12.75" x14ac:dyDescent="0.2">
      <c r="A423" s="13"/>
      <c r="B423" s="13"/>
      <c r="C423" s="14"/>
    </row>
    <row r="424" spans="1:3" ht="12.75" x14ac:dyDescent="0.2">
      <c r="A424" s="13"/>
      <c r="B424" s="13"/>
      <c r="C424" s="14"/>
    </row>
    <row r="425" spans="1:3" ht="12.75" x14ac:dyDescent="0.2">
      <c r="A425" s="13"/>
      <c r="B425" s="13"/>
      <c r="C425" s="14"/>
    </row>
    <row r="426" spans="1:3" ht="12.75" x14ac:dyDescent="0.2">
      <c r="A426" s="13"/>
      <c r="B426" s="13"/>
      <c r="C426" s="14"/>
    </row>
    <row r="427" spans="1:3" ht="12.75" x14ac:dyDescent="0.2">
      <c r="A427" s="13"/>
      <c r="B427" s="13"/>
      <c r="C427" s="14"/>
    </row>
    <row r="428" spans="1:3" ht="12.75" x14ac:dyDescent="0.2">
      <c r="A428" s="13"/>
      <c r="B428" s="13"/>
      <c r="C428" s="14"/>
    </row>
    <row r="429" spans="1:3" ht="12.75" x14ac:dyDescent="0.2">
      <c r="A429" s="13"/>
      <c r="B429" s="13"/>
      <c r="C429" s="14"/>
    </row>
    <row r="430" spans="1:3" ht="12.75" x14ac:dyDescent="0.2">
      <c r="A430" s="13"/>
      <c r="B430" s="13"/>
      <c r="C430" s="14"/>
    </row>
    <row r="431" spans="1:3" ht="12.75" x14ac:dyDescent="0.2">
      <c r="A431" s="13"/>
      <c r="B431" s="13"/>
      <c r="C431" s="14"/>
    </row>
    <row r="432" spans="1:3" ht="12.75" x14ac:dyDescent="0.2">
      <c r="A432" s="13"/>
      <c r="B432" s="13"/>
      <c r="C432" s="14"/>
    </row>
    <row r="433" spans="1:3" ht="12.75" x14ac:dyDescent="0.2">
      <c r="A433" s="13"/>
      <c r="B433" s="13"/>
      <c r="C433" s="14"/>
    </row>
    <row r="434" spans="1:3" ht="12.75" x14ac:dyDescent="0.2">
      <c r="A434" s="13"/>
      <c r="B434" s="13"/>
      <c r="C434" s="14"/>
    </row>
    <row r="435" spans="1:3" ht="12.75" x14ac:dyDescent="0.2">
      <c r="A435" s="13"/>
      <c r="B435" s="13"/>
      <c r="C435" s="14"/>
    </row>
    <row r="436" spans="1:3" ht="12.75" x14ac:dyDescent="0.2">
      <c r="A436" s="13"/>
      <c r="B436" s="13"/>
      <c r="C436" s="14"/>
    </row>
    <row r="437" spans="1:3" ht="12.75" x14ac:dyDescent="0.2">
      <c r="A437" s="13"/>
      <c r="B437" s="13"/>
      <c r="C437" s="14"/>
    </row>
    <row r="438" spans="1:3" ht="12.75" x14ac:dyDescent="0.2">
      <c r="A438" s="13"/>
      <c r="B438" s="13"/>
      <c r="C438" s="14"/>
    </row>
    <row r="439" spans="1:3" ht="12.75" x14ac:dyDescent="0.2">
      <c r="A439" s="13"/>
      <c r="B439" s="13"/>
      <c r="C439" s="14"/>
    </row>
    <row r="440" spans="1:3" ht="12.75" x14ac:dyDescent="0.2">
      <c r="A440" s="13"/>
      <c r="B440" s="13"/>
      <c r="C440" s="14"/>
    </row>
    <row r="441" spans="1:3" ht="12.75" x14ac:dyDescent="0.2">
      <c r="A441" s="13"/>
      <c r="B441" s="13"/>
      <c r="C441" s="14"/>
    </row>
    <row r="442" spans="1:3" ht="12.75" x14ac:dyDescent="0.2">
      <c r="A442" s="13"/>
      <c r="B442" s="13"/>
      <c r="C442" s="14"/>
    </row>
    <row r="443" spans="1:3" ht="12.75" x14ac:dyDescent="0.2">
      <c r="A443" s="13"/>
      <c r="B443" s="13"/>
      <c r="C443" s="14"/>
    </row>
    <row r="444" spans="1:3" ht="12.75" x14ac:dyDescent="0.2">
      <c r="A444" s="13"/>
      <c r="B444" s="13"/>
      <c r="C444" s="14"/>
    </row>
    <row r="445" spans="1:3" ht="12.75" x14ac:dyDescent="0.2">
      <c r="A445" s="13"/>
      <c r="B445" s="13"/>
      <c r="C445" s="14"/>
    </row>
    <row r="446" spans="1:3" ht="12.75" x14ac:dyDescent="0.2">
      <c r="A446" s="13"/>
      <c r="B446" s="13"/>
      <c r="C446" s="14"/>
    </row>
    <row r="447" spans="1:3" ht="12.75" x14ac:dyDescent="0.2">
      <c r="A447" s="13"/>
      <c r="B447" s="13"/>
      <c r="C447" s="14"/>
    </row>
    <row r="448" spans="1:3" ht="12.75" x14ac:dyDescent="0.2">
      <c r="A448" s="13"/>
      <c r="B448" s="13"/>
      <c r="C448" s="14"/>
    </row>
    <row r="449" spans="1:3" ht="12.75" x14ac:dyDescent="0.2">
      <c r="A449" s="13"/>
      <c r="B449" s="13"/>
      <c r="C449" s="14"/>
    </row>
    <row r="450" spans="1:3" ht="12.75" x14ac:dyDescent="0.2">
      <c r="A450" s="13"/>
      <c r="B450" s="13"/>
      <c r="C450" s="14"/>
    </row>
    <row r="451" spans="1:3" ht="12.75" x14ac:dyDescent="0.2">
      <c r="A451" s="13"/>
      <c r="B451" s="13"/>
      <c r="C451" s="14"/>
    </row>
    <row r="452" spans="1:3" ht="12.75" x14ac:dyDescent="0.2">
      <c r="A452" s="13"/>
      <c r="B452" s="13"/>
      <c r="C452" s="14"/>
    </row>
    <row r="453" spans="1:3" ht="12.75" x14ac:dyDescent="0.2">
      <c r="A453" s="13"/>
      <c r="B453" s="13"/>
      <c r="C453" s="14"/>
    </row>
    <row r="454" spans="1:3" ht="12.75" x14ac:dyDescent="0.2">
      <c r="A454" s="13"/>
      <c r="B454" s="13"/>
      <c r="C454" s="14"/>
    </row>
    <row r="455" spans="1:3" ht="12.75" x14ac:dyDescent="0.2">
      <c r="A455" s="13"/>
      <c r="B455" s="13"/>
      <c r="C455" s="14"/>
    </row>
    <row r="456" spans="1:3" ht="12.75" x14ac:dyDescent="0.2">
      <c r="A456" s="13"/>
      <c r="B456" s="13"/>
      <c r="C456" s="14"/>
    </row>
    <row r="457" spans="1:3" ht="12.75" x14ac:dyDescent="0.2">
      <c r="A457" s="13"/>
      <c r="B457" s="13"/>
      <c r="C457" s="14"/>
    </row>
    <row r="458" spans="1:3" ht="12.75" x14ac:dyDescent="0.2">
      <c r="A458" s="13"/>
      <c r="B458" s="13"/>
      <c r="C458" s="14"/>
    </row>
    <row r="459" spans="1:3" ht="12.75" x14ac:dyDescent="0.2">
      <c r="A459" s="13"/>
      <c r="B459" s="13"/>
      <c r="C459" s="14"/>
    </row>
    <row r="460" spans="1:3" ht="12.75" x14ac:dyDescent="0.2">
      <c r="A460" s="13"/>
      <c r="B460" s="13"/>
      <c r="C460" s="14"/>
    </row>
    <row r="461" spans="1:3" ht="12.75" x14ac:dyDescent="0.2">
      <c r="A461" s="13"/>
      <c r="B461" s="13"/>
      <c r="C461" s="14"/>
    </row>
    <row r="462" spans="1:3" ht="12.75" x14ac:dyDescent="0.2">
      <c r="A462" s="13"/>
      <c r="B462" s="13"/>
      <c r="C462" s="14"/>
    </row>
    <row r="463" spans="1:3" ht="12.75" x14ac:dyDescent="0.2">
      <c r="A463" s="13"/>
      <c r="B463" s="13"/>
      <c r="C463" s="14"/>
    </row>
    <row r="464" spans="1:3" ht="12.75" x14ac:dyDescent="0.2">
      <c r="A464" s="13"/>
      <c r="B464" s="13"/>
      <c r="C464" s="14"/>
    </row>
    <row r="465" spans="1:3" ht="12.75" x14ac:dyDescent="0.2">
      <c r="A465" s="13"/>
      <c r="B465" s="13"/>
      <c r="C465" s="14"/>
    </row>
    <row r="466" spans="1:3" ht="12.75" x14ac:dyDescent="0.2">
      <c r="A466" s="13"/>
      <c r="B466" s="13"/>
      <c r="C466" s="14"/>
    </row>
    <row r="467" spans="1:3" ht="12.75" x14ac:dyDescent="0.2">
      <c r="A467" s="13"/>
      <c r="B467" s="13"/>
      <c r="C467" s="14"/>
    </row>
    <row r="468" spans="1:3" ht="12.75" x14ac:dyDescent="0.2">
      <c r="A468" s="13"/>
      <c r="B468" s="13"/>
      <c r="C468" s="14"/>
    </row>
    <row r="469" spans="1:3" ht="12.75" x14ac:dyDescent="0.2">
      <c r="A469" s="13"/>
      <c r="B469" s="13"/>
      <c r="C469" s="14"/>
    </row>
    <row r="470" spans="1:3" ht="12.75" x14ac:dyDescent="0.2">
      <c r="A470" s="13"/>
      <c r="B470" s="13"/>
      <c r="C470" s="14"/>
    </row>
    <row r="471" spans="1:3" ht="12.75" x14ac:dyDescent="0.2">
      <c r="A471" s="13"/>
      <c r="B471" s="13"/>
      <c r="C471" s="14"/>
    </row>
    <row r="472" spans="1:3" ht="12.75" x14ac:dyDescent="0.2">
      <c r="A472" s="13"/>
      <c r="B472" s="13"/>
      <c r="C472" s="14"/>
    </row>
    <row r="473" spans="1:3" ht="12.75" x14ac:dyDescent="0.2">
      <c r="A473" s="13"/>
      <c r="B473" s="13"/>
      <c r="C473" s="14"/>
    </row>
    <row r="474" spans="1:3" ht="12.75" x14ac:dyDescent="0.2">
      <c r="A474" s="13"/>
      <c r="B474" s="13"/>
      <c r="C474" s="14"/>
    </row>
    <row r="475" spans="1:3" ht="12.75" x14ac:dyDescent="0.2">
      <c r="A475" s="13"/>
      <c r="B475" s="13"/>
      <c r="C475" s="14"/>
    </row>
    <row r="476" spans="1:3" ht="12.75" x14ac:dyDescent="0.2">
      <c r="A476" s="13"/>
      <c r="B476" s="13"/>
      <c r="C476" s="14"/>
    </row>
    <row r="477" spans="1:3" ht="12.75" x14ac:dyDescent="0.2">
      <c r="A477" s="13"/>
      <c r="B477" s="13"/>
      <c r="C477" s="14"/>
    </row>
    <row r="478" spans="1:3" ht="12.75" x14ac:dyDescent="0.2">
      <c r="A478" s="13"/>
      <c r="B478" s="13"/>
      <c r="C478" s="14"/>
    </row>
    <row r="479" spans="1:3" ht="12.75" x14ac:dyDescent="0.2">
      <c r="A479" s="13"/>
      <c r="B479" s="13"/>
      <c r="C479" s="14"/>
    </row>
    <row r="480" spans="1:3" ht="12.75" x14ac:dyDescent="0.2">
      <c r="A480" s="13"/>
      <c r="B480" s="13"/>
      <c r="C480" s="14"/>
    </row>
    <row r="481" spans="1:3" ht="12.75" x14ac:dyDescent="0.2">
      <c r="A481" s="13"/>
      <c r="B481" s="13"/>
      <c r="C481" s="14"/>
    </row>
    <row r="482" spans="1:3" ht="12.75" x14ac:dyDescent="0.2">
      <c r="A482" s="13"/>
      <c r="B482" s="13"/>
      <c r="C482" s="14"/>
    </row>
    <row r="483" spans="1:3" ht="12.75" x14ac:dyDescent="0.2">
      <c r="A483" s="13"/>
      <c r="B483" s="13"/>
      <c r="C483" s="14"/>
    </row>
    <row r="484" spans="1:3" ht="12.75" x14ac:dyDescent="0.2">
      <c r="A484" s="13"/>
      <c r="B484" s="13"/>
      <c r="C484" s="14"/>
    </row>
    <row r="485" spans="1:3" ht="12.75" x14ac:dyDescent="0.2">
      <c r="A485" s="13"/>
      <c r="B485" s="13"/>
      <c r="C485" s="14"/>
    </row>
    <row r="486" spans="1:3" ht="12.75" x14ac:dyDescent="0.2">
      <c r="A486" s="13"/>
      <c r="B486" s="13"/>
      <c r="C486" s="14"/>
    </row>
    <row r="487" spans="1:3" ht="12.75" x14ac:dyDescent="0.2">
      <c r="A487" s="13"/>
      <c r="B487" s="13"/>
      <c r="C487" s="14"/>
    </row>
    <row r="488" spans="1:3" ht="12.75" x14ac:dyDescent="0.2">
      <c r="A488" s="13"/>
      <c r="B488" s="13"/>
      <c r="C488" s="14"/>
    </row>
    <row r="489" spans="1:3" ht="12.75" x14ac:dyDescent="0.2">
      <c r="A489" s="13"/>
      <c r="B489" s="13"/>
      <c r="C489" s="14"/>
    </row>
    <row r="490" spans="1:3" ht="12.75" x14ac:dyDescent="0.2">
      <c r="A490" s="13"/>
      <c r="B490" s="13"/>
      <c r="C490" s="14"/>
    </row>
    <row r="491" spans="1:3" ht="12.75" x14ac:dyDescent="0.2">
      <c r="A491" s="13"/>
      <c r="B491" s="13"/>
      <c r="C491" s="14"/>
    </row>
    <row r="492" spans="1:3" ht="12.75" x14ac:dyDescent="0.2">
      <c r="A492" s="13"/>
      <c r="B492" s="13"/>
      <c r="C492" s="14"/>
    </row>
    <row r="493" spans="1:3" ht="12.75" x14ac:dyDescent="0.2">
      <c r="A493" s="13"/>
      <c r="B493" s="13"/>
      <c r="C493" s="14"/>
    </row>
    <row r="494" spans="1:3" ht="12.75" x14ac:dyDescent="0.2">
      <c r="A494" s="13"/>
      <c r="B494" s="13"/>
      <c r="C494" s="14"/>
    </row>
    <row r="495" spans="1:3" ht="12.75" x14ac:dyDescent="0.2">
      <c r="A495" s="13"/>
      <c r="B495" s="13"/>
      <c r="C495" s="14"/>
    </row>
    <row r="496" spans="1:3" ht="12.75" x14ac:dyDescent="0.2">
      <c r="A496" s="13"/>
      <c r="B496" s="13"/>
      <c r="C496" s="14"/>
    </row>
    <row r="497" spans="1:3" ht="12.75" x14ac:dyDescent="0.2">
      <c r="A497" s="13"/>
      <c r="B497" s="13"/>
      <c r="C497" s="14"/>
    </row>
    <row r="498" spans="1:3" ht="12.75" x14ac:dyDescent="0.2">
      <c r="A498" s="13"/>
      <c r="B498" s="13"/>
      <c r="C498" s="14"/>
    </row>
    <row r="499" spans="1:3" ht="12.75" x14ac:dyDescent="0.2">
      <c r="A499" s="13"/>
      <c r="B499" s="13"/>
      <c r="C499" s="14"/>
    </row>
    <row r="500" spans="1:3" ht="12.75" x14ac:dyDescent="0.2">
      <c r="A500" s="13"/>
      <c r="B500" s="13"/>
      <c r="C500" s="14"/>
    </row>
    <row r="501" spans="1:3" ht="12.75" x14ac:dyDescent="0.2">
      <c r="A501" s="13"/>
      <c r="B501" s="13"/>
      <c r="C501" s="14"/>
    </row>
    <row r="502" spans="1:3" ht="12.75" x14ac:dyDescent="0.2">
      <c r="A502" s="13"/>
      <c r="B502" s="13"/>
      <c r="C502" s="14"/>
    </row>
    <row r="503" spans="1:3" ht="12.75" x14ac:dyDescent="0.2">
      <c r="A503" s="13"/>
      <c r="B503" s="13"/>
      <c r="C503" s="14"/>
    </row>
    <row r="504" spans="1:3" ht="12.75" x14ac:dyDescent="0.2">
      <c r="A504" s="13"/>
      <c r="B504" s="13"/>
      <c r="C504" s="14"/>
    </row>
    <row r="505" spans="1:3" ht="12.75" x14ac:dyDescent="0.2">
      <c r="A505" s="13"/>
      <c r="B505" s="13"/>
      <c r="C505" s="14"/>
    </row>
    <row r="506" spans="1:3" ht="12.75" x14ac:dyDescent="0.2">
      <c r="A506" s="13"/>
      <c r="B506" s="13"/>
      <c r="C506" s="14"/>
    </row>
    <row r="507" spans="1:3" ht="12.75" x14ac:dyDescent="0.2">
      <c r="A507" s="13"/>
      <c r="B507" s="13"/>
      <c r="C507" s="14"/>
    </row>
    <row r="508" spans="1:3" ht="12.75" x14ac:dyDescent="0.2">
      <c r="A508" s="13"/>
      <c r="B508" s="13"/>
      <c r="C508" s="14"/>
    </row>
    <row r="509" spans="1:3" ht="12.75" x14ac:dyDescent="0.2">
      <c r="A509" s="13"/>
      <c r="B509" s="13"/>
      <c r="C509" s="14"/>
    </row>
    <row r="510" spans="1:3" ht="12.75" x14ac:dyDescent="0.2">
      <c r="A510" s="13"/>
      <c r="B510" s="13"/>
      <c r="C510" s="14"/>
    </row>
    <row r="511" spans="1:3" ht="12.75" x14ac:dyDescent="0.2">
      <c r="A511" s="13"/>
      <c r="B511" s="13"/>
      <c r="C511" s="14"/>
    </row>
    <row r="512" spans="1:3" ht="12.75" x14ac:dyDescent="0.2">
      <c r="A512" s="13"/>
      <c r="B512" s="13"/>
      <c r="C512" s="14"/>
    </row>
    <row r="513" spans="1:3" ht="12.75" x14ac:dyDescent="0.2">
      <c r="A513" s="13"/>
      <c r="B513" s="13"/>
      <c r="C513" s="14"/>
    </row>
    <row r="514" spans="1:3" ht="12.75" x14ac:dyDescent="0.2">
      <c r="A514" s="13"/>
      <c r="B514" s="13"/>
      <c r="C514" s="14"/>
    </row>
    <row r="515" spans="1:3" ht="12.75" x14ac:dyDescent="0.2">
      <c r="A515" s="13"/>
      <c r="B515" s="13"/>
      <c r="C515" s="14"/>
    </row>
    <row r="516" spans="1:3" ht="12.75" x14ac:dyDescent="0.2">
      <c r="A516" s="13"/>
      <c r="B516" s="13"/>
      <c r="C516" s="14"/>
    </row>
    <row r="517" spans="1:3" ht="12.75" x14ac:dyDescent="0.2">
      <c r="A517" s="13"/>
      <c r="B517" s="13"/>
      <c r="C517" s="14"/>
    </row>
    <row r="518" spans="1:3" ht="12.75" x14ac:dyDescent="0.2">
      <c r="A518" s="13"/>
      <c r="B518" s="13"/>
      <c r="C518" s="14"/>
    </row>
    <row r="519" spans="1:3" ht="12.75" x14ac:dyDescent="0.2">
      <c r="A519" s="13"/>
      <c r="B519" s="13"/>
      <c r="C519" s="14"/>
    </row>
    <row r="520" spans="1:3" ht="12.75" x14ac:dyDescent="0.2">
      <c r="A520" s="13"/>
      <c r="B520" s="13"/>
      <c r="C520" s="14"/>
    </row>
    <row r="521" spans="1:3" ht="12.75" x14ac:dyDescent="0.2">
      <c r="A521" s="13"/>
      <c r="B521" s="13"/>
      <c r="C521" s="14"/>
    </row>
    <row r="522" spans="1:3" ht="12.75" x14ac:dyDescent="0.2">
      <c r="A522" s="13"/>
      <c r="B522" s="13"/>
      <c r="C522" s="14"/>
    </row>
    <row r="523" spans="1:3" ht="12.75" x14ac:dyDescent="0.2">
      <c r="A523" s="13"/>
      <c r="B523" s="13"/>
      <c r="C523" s="14"/>
    </row>
    <row r="524" spans="1:3" ht="12.75" x14ac:dyDescent="0.2">
      <c r="A524" s="13"/>
      <c r="B524" s="13"/>
      <c r="C524" s="14"/>
    </row>
    <row r="525" spans="1:3" ht="12.75" x14ac:dyDescent="0.2">
      <c r="A525" s="13"/>
      <c r="B525" s="13"/>
      <c r="C525" s="14"/>
    </row>
    <row r="526" spans="1:3" ht="12.75" x14ac:dyDescent="0.2">
      <c r="A526" s="13"/>
      <c r="B526" s="13"/>
      <c r="C526" s="14"/>
    </row>
    <row r="527" spans="1:3" ht="12.75" x14ac:dyDescent="0.2">
      <c r="A527" s="13"/>
      <c r="B527" s="13"/>
      <c r="C527" s="14"/>
    </row>
    <row r="528" spans="1:3" ht="12.75" x14ac:dyDescent="0.2">
      <c r="A528" s="13"/>
      <c r="B528" s="13"/>
      <c r="C528" s="14"/>
    </row>
    <row r="529" spans="1:3" ht="12.75" x14ac:dyDescent="0.2">
      <c r="A529" s="13"/>
      <c r="B529" s="13"/>
      <c r="C529" s="14"/>
    </row>
    <row r="530" spans="1:3" ht="12.75" x14ac:dyDescent="0.2">
      <c r="A530" s="13"/>
      <c r="B530" s="13"/>
      <c r="C530" s="14"/>
    </row>
    <row r="531" spans="1:3" ht="12.75" x14ac:dyDescent="0.2">
      <c r="A531" s="13"/>
      <c r="B531" s="13"/>
      <c r="C531" s="14"/>
    </row>
    <row r="532" spans="1:3" ht="12.75" x14ac:dyDescent="0.2">
      <c r="A532" s="13"/>
      <c r="B532" s="13"/>
      <c r="C532" s="14"/>
    </row>
    <row r="533" spans="1:3" ht="12.75" x14ac:dyDescent="0.2">
      <c r="A533" s="13"/>
      <c r="B533" s="13"/>
      <c r="C533" s="14"/>
    </row>
    <row r="534" spans="1:3" ht="12.75" x14ac:dyDescent="0.2">
      <c r="A534" s="13"/>
      <c r="B534" s="13"/>
      <c r="C534" s="14"/>
    </row>
    <row r="535" spans="1:3" ht="12.75" x14ac:dyDescent="0.2">
      <c r="A535" s="13"/>
      <c r="B535" s="13"/>
      <c r="C535" s="14"/>
    </row>
    <row r="536" spans="1:3" ht="12.75" x14ac:dyDescent="0.2">
      <c r="A536" s="13"/>
      <c r="B536" s="13"/>
      <c r="C536" s="14"/>
    </row>
    <row r="537" spans="1:3" ht="12.75" x14ac:dyDescent="0.2">
      <c r="A537" s="13"/>
      <c r="B537" s="13"/>
      <c r="C537" s="14"/>
    </row>
    <row r="538" spans="1:3" ht="12.75" x14ac:dyDescent="0.2">
      <c r="A538" s="13"/>
      <c r="B538" s="13"/>
      <c r="C538" s="14"/>
    </row>
    <row r="539" spans="1:3" ht="12.75" x14ac:dyDescent="0.2">
      <c r="A539" s="13"/>
      <c r="B539" s="13"/>
      <c r="C539" s="14"/>
    </row>
    <row r="540" spans="1:3" ht="12.75" x14ac:dyDescent="0.2">
      <c r="A540" s="13"/>
      <c r="B540" s="13"/>
      <c r="C540" s="14"/>
    </row>
    <row r="541" spans="1:3" ht="12.75" x14ac:dyDescent="0.2">
      <c r="A541" s="13"/>
      <c r="B541" s="13"/>
      <c r="C541" s="14"/>
    </row>
    <row r="542" spans="1:3" ht="12.75" x14ac:dyDescent="0.2">
      <c r="A542" s="13"/>
      <c r="B542" s="13"/>
      <c r="C542" s="14"/>
    </row>
    <row r="543" spans="1:3" ht="12.75" x14ac:dyDescent="0.2">
      <c r="A543" s="13"/>
      <c r="B543" s="13"/>
      <c r="C543" s="14"/>
    </row>
    <row r="544" spans="1:3" ht="12.75" x14ac:dyDescent="0.2">
      <c r="A544" s="13"/>
      <c r="B544" s="13"/>
      <c r="C544" s="14"/>
    </row>
    <row r="545" spans="1:3" ht="12.75" x14ac:dyDescent="0.2">
      <c r="A545" s="13"/>
      <c r="B545" s="13"/>
      <c r="C545" s="14"/>
    </row>
    <row r="546" spans="1:3" ht="12.75" x14ac:dyDescent="0.2">
      <c r="A546" s="13"/>
      <c r="B546" s="13"/>
      <c r="C546" s="14"/>
    </row>
    <row r="547" spans="1:3" ht="12.75" x14ac:dyDescent="0.2">
      <c r="A547" s="13"/>
      <c r="B547" s="13"/>
      <c r="C547" s="14"/>
    </row>
    <row r="548" spans="1:3" ht="12.75" x14ac:dyDescent="0.2">
      <c r="A548" s="13"/>
      <c r="B548" s="13"/>
      <c r="C548" s="14"/>
    </row>
    <row r="549" spans="1:3" ht="12.75" x14ac:dyDescent="0.2">
      <c r="A549" s="13"/>
      <c r="B549" s="13"/>
      <c r="C549" s="14"/>
    </row>
    <row r="550" spans="1:3" ht="12.75" x14ac:dyDescent="0.2">
      <c r="A550" s="13"/>
      <c r="B550" s="13"/>
      <c r="C550" s="14"/>
    </row>
    <row r="551" spans="1:3" ht="12.75" x14ac:dyDescent="0.2">
      <c r="A551" s="13"/>
      <c r="B551" s="13"/>
      <c r="C551" s="14"/>
    </row>
    <row r="552" spans="1:3" ht="12.75" x14ac:dyDescent="0.2">
      <c r="A552" s="13"/>
      <c r="B552" s="13"/>
      <c r="C552" s="14"/>
    </row>
    <row r="553" spans="1:3" ht="12.75" x14ac:dyDescent="0.2">
      <c r="A553" s="13"/>
      <c r="B553" s="13"/>
      <c r="C553" s="14"/>
    </row>
    <row r="554" spans="1:3" ht="12.75" x14ac:dyDescent="0.2">
      <c r="A554" s="13"/>
      <c r="B554" s="13"/>
      <c r="C554" s="14"/>
    </row>
    <row r="555" spans="1:3" ht="12.75" x14ac:dyDescent="0.2">
      <c r="A555" s="13"/>
      <c r="B555" s="13"/>
      <c r="C555" s="14"/>
    </row>
    <row r="556" spans="1:3" ht="12.75" x14ac:dyDescent="0.2">
      <c r="A556" s="13"/>
      <c r="B556" s="13"/>
      <c r="C556" s="14"/>
    </row>
    <row r="557" spans="1:3" ht="12.75" x14ac:dyDescent="0.2">
      <c r="A557" s="13"/>
      <c r="B557" s="13"/>
      <c r="C557" s="14"/>
    </row>
    <row r="558" spans="1:3" ht="12.75" x14ac:dyDescent="0.2">
      <c r="A558" s="13"/>
      <c r="B558" s="13"/>
      <c r="C558" s="14"/>
    </row>
    <row r="559" spans="1:3" ht="12.75" x14ac:dyDescent="0.2">
      <c r="A559" s="13"/>
      <c r="B559" s="13"/>
      <c r="C559" s="14"/>
    </row>
    <row r="560" spans="1:3" ht="12.75" x14ac:dyDescent="0.2">
      <c r="A560" s="13"/>
      <c r="B560" s="13"/>
      <c r="C560" s="14"/>
    </row>
    <row r="561" spans="1:3" ht="12.75" x14ac:dyDescent="0.2">
      <c r="A561" s="13"/>
      <c r="B561" s="13"/>
      <c r="C561" s="14"/>
    </row>
    <row r="562" spans="1:3" ht="12.75" x14ac:dyDescent="0.2">
      <c r="A562" s="13"/>
      <c r="B562" s="13"/>
      <c r="C562" s="14"/>
    </row>
    <row r="563" spans="1:3" ht="12.75" x14ac:dyDescent="0.2">
      <c r="A563" s="13"/>
      <c r="B563" s="13"/>
      <c r="C563" s="14"/>
    </row>
    <row r="564" spans="1:3" ht="12.75" x14ac:dyDescent="0.2">
      <c r="A564" s="13"/>
      <c r="B564" s="13"/>
      <c r="C564" s="14"/>
    </row>
    <row r="565" spans="1:3" ht="12.75" x14ac:dyDescent="0.2">
      <c r="A565" s="13"/>
      <c r="B565" s="13"/>
      <c r="C565" s="14"/>
    </row>
    <row r="566" spans="1:3" ht="12.75" x14ac:dyDescent="0.2">
      <c r="A566" s="13"/>
      <c r="B566" s="13"/>
      <c r="C566" s="14"/>
    </row>
    <row r="567" spans="1:3" ht="12.75" x14ac:dyDescent="0.2">
      <c r="A567" s="13"/>
      <c r="B567" s="13"/>
      <c r="C567" s="14"/>
    </row>
    <row r="568" spans="1:3" ht="12.75" x14ac:dyDescent="0.2">
      <c r="A568" s="13"/>
      <c r="B568" s="13"/>
      <c r="C568" s="14"/>
    </row>
    <row r="569" spans="1:3" ht="12.75" x14ac:dyDescent="0.2">
      <c r="A569" s="13"/>
      <c r="B569" s="13"/>
      <c r="C569" s="14"/>
    </row>
    <row r="570" spans="1:3" ht="12.75" x14ac:dyDescent="0.2">
      <c r="A570" s="13"/>
      <c r="B570" s="13"/>
      <c r="C570" s="14"/>
    </row>
    <row r="571" spans="1:3" ht="12.75" x14ac:dyDescent="0.2">
      <c r="A571" s="13"/>
      <c r="B571" s="13"/>
      <c r="C571" s="14"/>
    </row>
    <row r="572" spans="1:3" ht="12.75" x14ac:dyDescent="0.2">
      <c r="A572" s="13"/>
      <c r="B572" s="13"/>
      <c r="C572" s="14"/>
    </row>
    <row r="573" spans="1:3" ht="12.75" x14ac:dyDescent="0.2">
      <c r="A573" s="13"/>
      <c r="B573" s="13"/>
      <c r="C573" s="14"/>
    </row>
    <row r="574" spans="1:3" ht="12.75" x14ac:dyDescent="0.2">
      <c r="A574" s="13"/>
      <c r="B574" s="13"/>
      <c r="C574" s="14"/>
    </row>
    <row r="575" spans="1:3" ht="12.75" x14ac:dyDescent="0.2">
      <c r="A575" s="13"/>
      <c r="B575" s="13"/>
      <c r="C575" s="14"/>
    </row>
    <row r="576" spans="1:3" ht="12.75" x14ac:dyDescent="0.2">
      <c r="A576" s="13"/>
      <c r="B576" s="13"/>
      <c r="C576" s="14"/>
    </row>
    <row r="577" spans="1:3" ht="12.75" x14ac:dyDescent="0.2">
      <c r="A577" s="13"/>
      <c r="B577" s="13"/>
      <c r="C577" s="14"/>
    </row>
    <row r="578" spans="1:3" ht="12.75" x14ac:dyDescent="0.2">
      <c r="A578" s="13"/>
      <c r="B578" s="13"/>
      <c r="C578" s="14"/>
    </row>
    <row r="579" spans="1:3" ht="12.75" x14ac:dyDescent="0.2">
      <c r="A579" s="13"/>
      <c r="B579" s="13"/>
      <c r="C579" s="14"/>
    </row>
    <row r="580" spans="1:3" ht="12.75" x14ac:dyDescent="0.2">
      <c r="A580" s="13"/>
      <c r="B580" s="13"/>
      <c r="C580" s="14"/>
    </row>
    <row r="581" spans="1:3" ht="12.75" x14ac:dyDescent="0.2">
      <c r="A581" s="13"/>
      <c r="B581" s="13"/>
      <c r="C581" s="14"/>
    </row>
    <row r="582" spans="1:3" ht="12.75" x14ac:dyDescent="0.2">
      <c r="A582" s="13"/>
      <c r="B582" s="13"/>
      <c r="C582" s="14"/>
    </row>
    <row r="583" spans="1:3" ht="12.75" x14ac:dyDescent="0.2">
      <c r="A583" s="13"/>
      <c r="B583" s="13"/>
      <c r="C583" s="14"/>
    </row>
    <row r="584" spans="1:3" ht="12.75" x14ac:dyDescent="0.2">
      <c r="A584" s="13"/>
      <c r="B584" s="13"/>
      <c r="C584" s="14"/>
    </row>
    <row r="585" spans="1:3" ht="12.75" x14ac:dyDescent="0.2">
      <c r="A585" s="13"/>
      <c r="B585" s="13"/>
      <c r="C585" s="14"/>
    </row>
    <row r="586" spans="1:3" ht="12.75" x14ac:dyDescent="0.2">
      <c r="A586" s="13"/>
      <c r="B586" s="13"/>
      <c r="C586" s="14"/>
    </row>
    <row r="587" spans="1:3" ht="12.75" x14ac:dyDescent="0.2">
      <c r="A587" s="13"/>
      <c r="B587" s="13"/>
      <c r="C587" s="14"/>
    </row>
    <row r="588" spans="1:3" ht="12.75" x14ac:dyDescent="0.2">
      <c r="A588" s="13"/>
      <c r="B588" s="13"/>
      <c r="C588" s="14"/>
    </row>
    <row r="589" spans="1:3" ht="12.75" x14ac:dyDescent="0.2">
      <c r="A589" s="13"/>
      <c r="B589" s="13"/>
      <c r="C589" s="14"/>
    </row>
    <row r="590" spans="1:3" ht="12.75" x14ac:dyDescent="0.2">
      <c r="A590" s="13"/>
      <c r="B590" s="13"/>
      <c r="C590" s="14"/>
    </row>
    <row r="591" spans="1:3" ht="12.75" x14ac:dyDescent="0.2">
      <c r="A591" s="13"/>
      <c r="B591" s="13"/>
      <c r="C591" s="14"/>
    </row>
    <row r="592" spans="1:3" ht="12.75" x14ac:dyDescent="0.2">
      <c r="A592" s="13"/>
      <c r="B592" s="13"/>
      <c r="C592" s="14"/>
    </row>
    <row r="593" spans="1:3" ht="12.75" x14ac:dyDescent="0.2">
      <c r="A593" s="13"/>
      <c r="B593" s="13"/>
      <c r="C593" s="14"/>
    </row>
    <row r="594" spans="1:3" ht="12.75" x14ac:dyDescent="0.2">
      <c r="A594" s="13"/>
      <c r="B594" s="13"/>
      <c r="C594" s="14"/>
    </row>
    <row r="595" spans="1:3" ht="12.75" x14ac:dyDescent="0.2">
      <c r="A595" s="13"/>
      <c r="B595" s="13"/>
      <c r="C595" s="14"/>
    </row>
    <row r="596" spans="1:3" ht="12.75" x14ac:dyDescent="0.2">
      <c r="A596" s="13"/>
      <c r="B596" s="13"/>
      <c r="C596" s="14"/>
    </row>
    <row r="597" spans="1:3" ht="12.75" x14ac:dyDescent="0.2">
      <c r="A597" s="13"/>
      <c r="B597" s="13"/>
      <c r="C597" s="14"/>
    </row>
    <row r="598" spans="1:3" ht="12.75" x14ac:dyDescent="0.2">
      <c r="A598" s="13"/>
      <c r="B598" s="13"/>
      <c r="C598" s="14"/>
    </row>
    <row r="599" spans="1:3" ht="12.75" x14ac:dyDescent="0.2">
      <c r="A599" s="13"/>
      <c r="B599" s="13"/>
      <c r="C599" s="14"/>
    </row>
    <row r="600" spans="1:3" ht="12.75" x14ac:dyDescent="0.2">
      <c r="A600" s="13"/>
      <c r="B600" s="13"/>
      <c r="C600" s="14"/>
    </row>
    <row r="601" spans="1:3" ht="12.75" x14ac:dyDescent="0.2">
      <c r="A601" s="13"/>
      <c r="B601" s="13"/>
      <c r="C601" s="14"/>
    </row>
    <row r="602" spans="1:3" ht="12.75" x14ac:dyDescent="0.2">
      <c r="A602" s="13"/>
      <c r="B602" s="13"/>
      <c r="C602" s="14"/>
    </row>
    <row r="603" spans="1:3" ht="12.75" x14ac:dyDescent="0.2">
      <c r="A603" s="13"/>
      <c r="B603" s="13"/>
      <c r="C603" s="14"/>
    </row>
    <row r="604" spans="1:3" ht="12.75" x14ac:dyDescent="0.2">
      <c r="A604" s="13"/>
      <c r="B604" s="13"/>
      <c r="C604" s="14"/>
    </row>
    <row r="605" spans="1:3" ht="12.75" x14ac:dyDescent="0.2">
      <c r="A605" s="13"/>
      <c r="B605" s="13"/>
      <c r="C605" s="14"/>
    </row>
    <row r="606" spans="1:3" ht="12.75" x14ac:dyDescent="0.2">
      <c r="A606" s="13"/>
      <c r="B606" s="13"/>
      <c r="C606" s="14"/>
    </row>
    <row r="607" spans="1:3" ht="12.75" x14ac:dyDescent="0.2">
      <c r="A607" s="13"/>
      <c r="B607" s="13"/>
      <c r="C607" s="14"/>
    </row>
    <row r="608" spans="1:3" ht="12.75" x14ac:dyDescent="0.2">
      <c r="A608" s="13"/>
      <c r="B608" s="13"/>
      <c r="C608" s="14"/>
    </row>
    <row r="609" spans="1:3" ht="12.75" x14ac:dyDescent="0.2">
      <c r="A609" s="13"/>
      <c r="B609" s="13"/>
      <c r="C609" s="14"/>
    </row>
    <row r="610" spans="1:3" ht="12.75" x14ac:dyDescent="0.2">
      <c r="A610" s="13"/>
      <c r="B610" s="13"/>
      <c r="C610" s="14"/>
    </row>
    <row r="611" spans="1:3" ht="12.75" x14ac:dyDescent="0.2">
      <c r="A611" s="13"/>
      <c r="B611" s="13"/>
      <c r="C611" s="14"/>
    </row>
    <row r="612" spans="1:3" ht="12.75" x14ac:dyDescent="0.2">
      <c r="A612" s="13"/>
      <c r="B612" s="13"/>
      <c r="C612" s="14"/>
    </row>
    <row r="613" spans="1:3" ht="12.75" x14ac:dyDescent="0.2">
      <c r="A613" s="13"/>
      <c r="B613" s="13"/>
      <c r="C613" s="14"/>
    </row>
    <row r="614" spans="1:3" ht="12.75" x14ac:dyDescent="0.2">
      <c r="A614" s="13"/>
      <c r="B614" s="13"/>
      <c r="C614" s="14"/>
    </row>
    <row r="615" spans="1:3" ht="12.75" x14ac:dyDescent="0.2">
      <c r="A615" s="13"/>
      <c r="B615" s="13"/>
      <c r="C615" s="14"/>
    </row>
    <row r="616" spans="1:3" ht="12.75" x14ac:dyDescent="0.2">
      <c r="A616" s="13"/>
      <c r="B616" s="13"/>
      <c r="C616" s="14"/>
    </row>
    <row r="617" spans="1:3" ht="12.75" x14ac:dyDescent="0.2">
      <c r="A617" s="13"/>
      <c r="B617" s="13"/>
      <c r="C617" s="14"/>
    </row>
    <row r="618" spans="1:3" ht="12.75" x14ac:dyDescent="0.2">
      <c r="A618" s="13"/>
      <c r="B618" s="13"/>
      <c r="C618" s="14"/>
    </row>
    <row r="619" spans="1:3" ht="12.75" x14ac:dyDescent="0.2">
      <c r="A619" s="13"/>
      <c r="B619" s="13"/>
      <c r="C619" s="14"/>
    </row>
    <row r="620" spans="1:3" ht="12.75" x14ac:dyDescent="0.2">
      <c r="A620" s="13"/>
      <c r="B620" s="13"/>
      <c r="C620" s="14"/>
    </row>
    <row r="621" spans="1:3" ht="12.75" x14ac:dyDescent="0.2">
      <c r="A621" s="13"/>
      <c r="B621" s="13"/>
      <c r="C621" s="14"/>
    </row>
    <row r="622" spans="1:3" ht="12.75" x14ac:dyDescent="0.2">
      <c r="A622" s="13"/>
      <c r="B622" s="13"/>
      <c r="C622" s="14"/>
    </row>
    <row r="623" spans="1:3" ht="12.75" x14ac:dyDescent="0.2">
      <c r="A623" s="13"/>
      <c r="B623" s="13"/>
      <c r="C623" s="14"/>
    </row>
    <row r="624" spans="1:3" ht="12.75" x14ac:dyDescent="0.2">
      <c r="A624" s="13"/>
      <c r="B624" s="13"/>
      <c r="C624" s="14"/>
    </row>
    <row r="625" spans="1:3" ht="12.75" x14ac:dyDescent="0.2">
      <c r="A625" s="13"/>
      <c r="B625" s="13"/>
      <c r="C625" s="14"/>
    </row>
    <row r="626" spans="1:3" ht="12.75" x14ac:dyDescent="0.2">
      <c r="A626" s="13"/>
      <c r="B626" s="13"/>
      <c r="C626" s="14"/>
    </row>
    <row r="627" spans="1:3" ht="12.75" x14ac:dyDescent="0.2">
      <c r="A627" s="13"/>
      <c r="B627" s="13"/>
      <c r="C627" s="14"/>
    </row>
    <row r="628" spans="1:3" ht="12.75" x14ac:dyDescent="0.2">
      <c r="A628" s="13"/>
      <c r="B628" s="13"/>
      <c r="C628" s="14"/>
    </row>
    <row r="629" spans="1:3" ht="12.75" x14ac:dyDescent="0.2">
      <c r="A629" s="13"/>
      <c r="B629" s="13"/>
      <c r="C629" s="14"/>
    </row>
    <row r="630" spans="1:3" ht="12.75" x14ac:dyDescent="0.2">
      <c r="A630" s="13"/>
      <c r="B630" s="13"/>
      <c r="C630" s="14"/>
    </row>
    <row r="631" spans="1:3" ht="12.75" x14ac:dyDescent="0.2">
      <c r="A631" s="13"/>
      <c r="B631" s="13"/>
      <c r="C631" s="14"/>
    </row>
    <row r="632" spans="1:3" ht="12.75" x14ac:dyDescent="0.2">
      <c r="A632" s="13"/>
      <c r="B632" s="13"/>
      <c r="C632" s="14"/>
    </row>
    <row r="633" spans="1:3" ht="12.75" x14ac:dyDescent="0.2">
      <c r="A633" s="13"/>
      <c r="B633" s="13"/>
      <c r="C633" s="14"/>
    </row>
    <row r="634" spans="1:3" ht="12.75" x14ac:dyDescent="0.2">
      <c r="A634" s="13"/>
      <c r="B634" s="13"/>
      <c r="C634" s="14"/>
    </row>
    <row r="635" spans="1:3" ht="12.75" x14ac:dyDescent="0.2">
      <c r="A635" s="13"/>
      <c r="B635" s="13"/>
      <c r="C635" s="14"/>
    </row>
    <row r="636" spans="1:3" ht="12.75" x14ac:dyDescent="0.2">
      <c r="A636" s="13"/>
      <c r="B636" s="13"/>
      <c r="C636" s="14"/>
    </row>
    <row r="637" spans="1:3" ht="12.75" x14ac:dyDescent="0.2">
      <c r="A637" s="13"/>
      <c r="B637" s="13"/>
      <c r="C637" s="14"/>
    </row>
    <row r="638" spans="1:3" ht="12.75" x14ac:dyDescent="0.2">
      <c r="A638" s="13"/>
      <c r="B638" s="13"/>
      <c r="C638" s="14"/>
    </row>
    <row r="639" spans="1:3" ht="12.75" x14ac:dyDescent="0.2">
      <c r="A639" s="13"/>
      <c r="B639" s="13"/>
      <c r="C639" s="14"/>
    </row>
    <row r="640" spans="1:3" ht="12.75" x14ac:dyDescent="0.2">
      <c r="A640" s="13"/>
      <c r="B640" s="13"/>
      <c r="C640" s="14"/>
    </row>
    <row r="641" spans="1:3" ht="12.75" x14ac:dyDescent="0.2">
      <c r="A641" s="13"/>
      <c r="B641" s="13"/>
      <c r="C641" s="14"/>
    </row>
    <row r="642" spans="1:3" ht="12.75" x14ac:dyDescent="0.2">
      <c r="A642" s="13"/>
      <c r="B642" s="13"/>
      <c r="C642" s="14"/>
    </row>
    <row r="643" spans="1:3" ht="12.75" x14ac:dyDescent="0.2">
      <c r="A643" s="13"/>
      <c r="B643" s="13"/>
      <c r="C643" s="14"/>
    </row>
    <row r="644" spans="1:3" ht="12.75" x14ac:dyDescent="0.2">
      <c r="A644" s="13"/>
      <c r="B644" s="13"/>
      <c r="C644" s="14"/>
    </row>
    <row r="645" spans="1:3" ht="12.75" x14ac:dyDescent="0.2">
      <c r="A645" s="13"/>
      <c r="B645" s="13"/>
      <c r="C645" s="14"/>
    </row>
    <row r="646" spans="1:3" ht="12.75" x14ac:dyDescent="0.2">
      <c r="A646" s="13"/>
      <c r="B646" s="13"/>
      <c r="C646" s="14"/>
    </row>
    <row r="647" spans="1:3" ht="12.75" x14ac:dyDescent="0.2">
      <c r="A647" s="13"/>
      <c r="B647" s="13"/>
      <c r="C647" s="14"/>
    </row>
    <row r="648" spans="1:3" ht="12.75" x14ac:dyDescent="0.2">
      <c r="A648" s="13"/>
      <c r="B648" s="13"/>
      <c r="C648" s="14"/>
    </row>
    <row r="649" spans="1:3" ht="12.75" x14ac:dyDescent="0.2">
      <c r="A649" s="13"/>
      <c r="B649" s="13"/>
      <c r="C649" s="14"/>
    </row>
    <row r="650" spans="1:3" ht="12.75" x14ac:dyDescent="0.2">
      <c r="A650" s="13"/>
      <c r="B650" s="13"/>
      <c r="C650" s="14"/>
    </row>
    <row r="651" spans="1:3" ht="12.75" x14ac:dyDescent="0.2">
      <c r="A651" s="13"/>
      <c r="B651" s="13"/>
      <c r="C651" s="14"/>
    </row>
    <row r="652" spans="1:3" ht="12.75" x14ac:dyDescent="0.2">
      <c r="A652" s="13"/>
      <c r="B652" s="13"/>
      <c r="C652" s="14"/>
    </row>
    <row r="653" spans="1:3" ht="12.75" x14ac:dyDescent="0.2">
      <c r="A653" s="13"/>
      <c r="B653" s="13"/>
      <c r="C653" s="14"/>
    </row>
    <row r="654" spans="1:3" ht="12.75" x14ac:dyDescent="0.2">
      <c r="A654" s="13"/>
      <c r="B654" s="13"/>
      <c r="C654" s="14"/>
    </row>
    <row r="655" spans="1:3" ht="12.75" x14ac:dyDescent="0.2">
      <c r="A655" s="13"/>
      <c r="B655" s="13"/>
      <c r="C655" s="14"/>
    </row>
    <row r="656" spans="1:3" ht="12.75" x14ac:dyDescent="0.2">
      <c r="A656" s="13"/>
      <c r="B656" s="13"/>
      <c r="C656" s="14"/>
    </row>
    <row r="657" spans="1:3" ht="12.75" x14ac:dyDescent="0.2">
      <c r="A657" s="13"/>
      <c r="B657" s="13"/>
      <c r="C657" s="14"/>
    </row>
    <row r="658" spans="1:3" ht="12.75" x14ac:dyDescent="0.2">
      <c r="A658" s="13"/>
      <c r="B658" s="13"/>
      <c r="C658" s="14"/>
    </row>
    <row r="659" spans="1:3" ht="12.75" x14ac:dyDescent="0.2">
      <c r="A659" s="13"/>
      <c r="B659" s="13"/>
      <c r="C659" s="14"/>
    </row>
    <row r="660" spans="1:3" ht="12.75" x14ac:dyDescent="0.2">
      <c r="A660" s="13"/>
      <c r="B660" s="13"/>
      <c r="C660" s="14"/>
    </row>
    <row r="661" spans="1:3" ht="12.75" x14ac:dyDescent="0.2">
      <c r="A661" s="13"/>
      <c r="B661" s="13"/>
      <c r="C661" s="14"/>
    </row>
    <row r="662" spans="1:3" ht="12.75" x14ac:dyDescent="0.2">
      <c r="A662" s="13"/>
      <c r="B662" s="13"/>
      <c r="C662" s="14"/>
    </row>
    <row r="663" spans="1:3" ht="12.75" x14ac:dyDescent="0.2">
      <c r="A663" s="13"/>
      <c r="B663" s="13"/>
      <c r="C663" s="14"/>
    </row>
    <row r="664" spans="1:3" ht="12.75" x14ac:dyDescent="0.2">
      <c r="A664" s="13"/>
      <c r="B664" s="13"/>
      <c r="C664" s="14"/>
    </row>
    <row r="665" spans="1:3" ht="12.75" x14ac:dyDescent="0.2">
      <c r="A665" s="13"/>
      <c r="B665" s="13"/>
      <c r="C665" s="14"/>
    </row>
    <row r="666" spans="1:3" ht="12.75" x14ac:dyDescent="0.2">
      <c r="A666" s="13"/>
      <c r="B666" s="13"/>
      <c r="C666" s="14"/>
    </row>
    <row r="667" spans="1:3" ht="12.75" x14ac:dyDescent="0.2">
      <c r="A667" s="13"/>
      <c r="B667" s="13"/>
      <c r="C667" s="14"/>
    </row>
    <row r="668" spans="1:3" ht="12.75" x14ac:dyDescent="0.2">
      <c r="A668" s="13"/>
      <c r="B668" s="13"/>
      <c r="C668" s="14"/>
    </row>
    <row r="669" spans="1:3" ht="12.75" x14ac:dyDescent="0.2">
      <c r="A669" s="13"/>
      <c r="B669" s="13"/>
      <c r="C669" s="14"/>
    </row>
    <row r="670" spans="1:3" ht="12.75" x14ac:dyDescent="0.2">
      <c r="A670" s="13"/>
      <c r="B670" s="13"/>
      <c r="C670" s="14"/>
    </row>
    <row r="671" spans="1:3" ht="12.75" x14ac:dyDescent="0.2">
      <c r="A671" s="13"/>
      <c r="B671" s="13"/>
      <c r="C671" s="14"/>
    </row>
    <row r="672" spans="1:3" ht="12.75" x14ac:dyDescent="0.2">
      <c r="A672" s="13"/>
      <c r="B672" s="13"/>
      <c r="C672" s="14"/>
    </row>
    <row r="673" spans="1:3" ht="12.75" x14ac:dyDescent="0.2">
      <c r="A673" s="13"/>
      <c r="B673" s="13"/>
      <c r="C673" s="14"/>
    </row>
    <row r="674" spans="1:3" ht="12.75" x14ac:dyDescent="0.2">
      <c r="A674" s="13"/>
      <c r="B674" s="13"/>
      <c r="C674" s="14"/>
    </row>
    <row r="675" spans="1:3" ht="12.75" x14ac:dyDescent="0.2">
      <c r="A675" s="13"/>
      <c r="B675" s="13"/>
      <c r="C675" s="14"/>
    </row>
    <row r="676" spans="1:3" ht="12.75" x14ac:dyDescent="0.2">
      <c r="A676" s="13"/>
      <c r="B676" s="13"/>
      <c r="C676" s="14"/>
    </row>
    <row r="677" spans="1:3" ht="12.75" x14ac:dyDescent="0.2">
      <c r="A677" s="13"/>
      <c r="B677" s="13"/>
      <c r="C677" s="14"/>
    </row>
    <row r="678" spans="1:3" ht="12.75" x14ac:dyDescent="0.2">
      <c r="A678" s="13"/>
      <c r="B678" s="13"/>
      <c r="C678" s="14"/>
    </row>
    <row r="679" spans="1:3" ht="12.75" x14ac:dyDescent="0.2">
      <c r="A679" s="13"/>
      <c r="B679" s="13"/>
      <c r="C679" s="14"/>
    </row>
    <row r="680" spans="1:3" ht="12.75" x14ac:dyDescent="0.2">
      <c r="A680" s="13"/>
      <c r="B680" s="13"/>
      <c r="C680" s="14"/>
    </row>
    <row r="681" spans="1:3" ht="12.75" x14ac:dyDescent="0.2">
      <c r="A681" s="13"/>
      <c r="B681" s="13"/>
      <c r="C681" s="14"/>
    </row>
    <row r="682" spans="1:3" ht="12.75" x14ac:dyDescent="0.2">
      <c r="A682" s="13"/>
      <c r="B682" s="13"/>
      <c r="C682" s="14"/>
    </row>
    <row r="683" spans="1:3" ht="12.75" x14ac:dyDescent="0.2">
      <c r="A683" s="13"/>
      <c r="B683" s="13"/>
      <c r="C683" s="14"/>
    </row>
    <row r="684" spans="1:3" ht="12.75" x14ac:dyDescent="0.2">
      <c r="A684" s="13"/>
      <c r="B684" s="13"/>
      <c r="C684" s="14"/>
    </row>
    <row r="685" spans="1:3" ht="12.75" x14ac:dyDescent="0.2">
      <c r="A685" s="13"/>
      <c r="B685" s="13"/>
      <c r="C685" s="14"/>
    </row>
    <row r="686" spans="1:3" ht="12.75" x14ac:dyDescent="0.2">
      <c r="A686" s="13"/>
      <c r="B686" s="13"/>
      <c r="C686" s="14"/>
    </row>
    <row r="687" spans="1:3" ht="12.75" x14ac:dyDescent="0.2">
      <c r="A687" s="13"/>
      <c r="B687" s="13"/>
      <c r="C687" s="14"/>
    </row>
    <row r="688" spans="1:3" ht="12.75" x14ac:dyDescent="0.2">
      <c r="A688" s="13"/>
      <c r="B688" s="13"/>
      <c r="C688" s="14"/>
    </row>
    <row r="689" spans="1:3" ht="12.75" x14ac:dyDescent="0.2">
      <c r="A689" s="13"/>
      <c r="B689" s="13"/>
      <c r="C689" s="14"/>
    </row>
    <row r="690" spans="1:3" ht="12.75" x14ac:dyDescent="0.2">
      <c r="A690" s="13"/>
      <c r="B690" s="13"/>
      <c r="C690" s="14"/>
    </row>
    <row r="691" spans="1:3" ht="12.75" x14ac:dyDescent="0.2">
      <c r="A691" s="13"/>
      <c r="B691" s="13"/>
      <c r="C691" s="14"/>
    </row>
    <row r="692" spans="1:3" ht="12.75" x14ac:dyDescent="0.2">
      <c r="A692" s="13"/>
      <c r="B692" s="13"/>
      <c r="C692" s="14"/>
    </row>
    <row r="693" spans="1:3" ht="12.75" x14ac:dyDescent="0.2">
      <c r="A693" s="13"/>
      <c r="B693" s="13"/>
      <c r="C693" s="14"/>
    </row>
    <row r="694" spans="1:3" ht="12.75" x14ac:dyDescent="0.2">
      <c r="A694" s="13"/>
      <c r="B694" s="13"/>
      <c r="C694" s="14"/>
    </row>
    <row r="695" spans="1:3" ht="12.75" x14ac:dyDescent="0.2">
      <c r="A695" s="13"/>
      <c r="B695" s="13"/>
      <c r="C695" s="14"/>
    </row>
    <row r="696" spans="1:3" ht="12.75" x14ac:dyDescent="0.2">
      <c r="A696" s="13"/>
      <c r="B696" s="13"/>
      <c r="C696" s="14"/>
    </row>
    <row r="697" spans="1:3" ht="12.75" x14ac:dyDescent="0.2">
      <c r="A697" s="13"/>
      <c r="B697" s="13"/>
      <c r="C697" s="14"/>
    </row>
    <row r="698" spans="1:3" ht="12.75" x14ac:dyDescent="0.2">
      <c r="A698" s="13"/>
      <c r="B698" s="13"/>
      <c r="C698" s="14"/>
    </row>
    <row r="699" spans="1:3" ht="12.75" x14ac:dyDescent="0.2">
      <c r="A699" s="13"/>
      <c r="B699" s="13"/>
      <c r="C699" s="14"/>
    </row>
    <row r="700" spans="1:3" ht="12.75" x14ac:dyDescent="0.2">
      <c r="A700" s="13"/>
      <c r="B700" s="13"/>
      <c r="C700" s="14"/>
    </row>
    <row r="701" spans="1:3" ht="12.75" x14ac:dyDescent="0.2">
      <c r="A701" s="13"/>
      <c r="B701" s="13"/>
      <c r="C701" s="14"/>
    </row>
    <row r="702" spans="1:3" ht="12.75" x14ac:dyDescent="0.2">
      <c r="A702" s="13"/>
      <c r="B702" s="13"/>
      <c r="C702" s="14"/>
    </row>
    <row r="703" spans="1:3" ht="12.75" x14ac:dyDescent="0.2">
      <c r="A703" s="13"/>
      <c r="B703" s="13"/>
      <c r="C703" s="14"/>
    </row>
    <row r="704" spans="1:3" ht="12.75" x14ac:dyDescent="0.2">
      <c r="A704" s="13"/>
      <c r="B704" s="13"/>
      <c r="C704" s="14"/>
    </row>
    <row r="705" spans="1:3" ht="12.75" x14ac:dyDescent="0.2">
      <c r="A705" s="13"/>
      <c r="B705" s="13"/>
      <c r="C705" s="14"/>
    </row>
    <row r="706" spans="1:3" ht="12.75" x14ac:dyDescent="0.2">
      <c r="A706" s="13"/>
      <c r="B706" s="13"/>
      <c r="C706" s="14"/>
    </row>
    <row r="707" spans="1:3" ht="12.75" x14ac:dyDescent="0.2">
      <c r="A707" s="13"/>
      <c r="B707" s="13"/>
      <c r="C707" s="14"/>
    </row>
    <row r="708" spans="1:3" ht="12.75" x14ac:dyDescent="0.2">
      <c r="A708" s="13"/>
      <c r="B708" s="13"/>
      <c r="C708" s="14"/>
    </row>
    <row r="709" spans="1:3" ht="12.75" x14ac:dyDescent="0.2">
      <c r="A709" s="13"/>
      <c r="B709" s="13"/>
      <c r="C709" s="14"/>
    </row>
    <row r="710" spans="1:3" ht="12.75" x14ac:dyDescent="0.2">
      <c r="A710" s="13"/>
      <c r="B710" s="13"/>
      <c r="C710" s="14"/>
    </row>
    <row r="711" spans="1:3" ht="12.75" x14ac:dyDescent="0.2">
      <c r="A711" s="13"/>
      <c r="B711" s="13"/>
      <c r="C711" s="14"/>
    </row>
    <row r="712" spans="1:3" ht="12.75" x14ac:dyDescent="0.2">
      <c r="A712" s="13"/>
      <c r="B712" s="13"/>
      <c r="C712" s="14"/>
    </row>
    <row r="713" spans="1:3" ht="12.75" x14ac:dyDescent="0.2">
      <c r="A713" s="13"/>
      <c r="B713" s="13"/>
      <c r="C713" s="14"/>
    </row>
    <row r="714" spans="1:3" ht="12.75" x14ac:dyDescent="0.2">
      <c r="A714" s="13"/>
      <c r="B714" s="13"/>
      <c r="C714" s="14"/>
    </row>
    <row r="715" spans="1:3" ht="12.75" x14ac:dyDescent="0.2">
      <c r="A715" s="13"/>
      <c r="B715" s="13"/>
      <c r="C715" s="14"/>
    </row>
    <row r="716" spans="1:3" ht="12.75" x14ac:dyDescent="0.2">
      <c r="A716" s="13"/>
      <c r="B716" s="13"/>
      <c r="C716" s="14"/>
    </row>
    <row r="717" spans="1:3" ht="12.75" x14ac:dyDescent="0.2">
      <c r="A717" s="13"/>
      <c r="B717" s="13"/>
      <c r="C717" s="14"/>
    </row>
    <row r="718" spans="1:3" ht="12.75" x14ac:dyDescent="0.2">
      <c r="A718" s="13"/>
      <c r="B718" s="13"/>
      <c r="C718" s="14"/>
    </row>
    <row r="719" spans="1:3" ht="12.75" x14ac:dyDescent="0.2">
      <c r="A719" s="13"/>
      <c r="B719" s="13"/>
      <c r="C719" s="14"/>
    </row>
    <row r="720" spans="1:3" ht="12.75" x14ac:dyDescent="0.2">
      <c r="A720" s="13"/>
      <c r="B720" s="13"/>
      <c r="C720" s="14"/>
    </row>
    <row r="721" spans="1:3" ht="12.75" x14ac:dyDescent="0.2">
      <c r="A721" s="13"/>
      <c r="B721" s="13"/>
      <c r="C721" s="14"/>
    </row>
    <row r="722" spans="1:3" ht="12.75" x14ac:dyDescent="0.2">
      <c r="A722" s="13"/>
      <c r="B722" s="13"/>
      <c r="C722" s="14"/>
    </row>
    <row r="723" spans="1:3" ht="12.75" x14ac:dyDescent="0.2">
      <c r="A723" s="13"/>
      <c r="B723" s="13"/>
      <c r="C723" s="14"/>
    </row>
    <row r="724" spans="1:3" ht="12.75" x14ac:dyDescent="0.2">
      <c r="A724" s="13"/>
      <c r="B724" s="13"/>
      <c r="C724" s="14"/>
    </row>
    <row r="725" spans="1:3" ht="12.75" x14ac:dyDescent="0.2">
      <c r="A725" s="13"/>
      <c r="B725" s="13"/>
      <c r="C725" s="14"/>
    </row>
    <row r="726" spans="1:3" ht="12.75" x14ac:dyDescent="0.2">
      <c r="A726" s="13"/>
      <c r="B726" s="13"/>
      <c r="C726" s="14"/>
    </row>
    <row r="727" spans="1:3" ht="12.75" x14ac:dyDescent="0.2">
      <c r="A727" s="13"/>
      <c r="B727" s="13"/>
      <c r="C727" s="14"/>
    </row>
    <row r="728" spans="1:3" ht="12.75" x14ac:dyDescent="0.2">
      <c r="A728" s="13"/>
      <c r="B728" s="13"/>
      <c r="C728" s="14"/>
    </row>
    <row r="729" spans="1:3" ht="12.75" x14ac:dyDescent="0.2">
      <c r="A729" s="13"/>
      <c r="B729" s="13"/>
      <c r="C729" s="14"/>
    </row>
    <row r="730" spans="1:3" ht="12.75" x14ac:dyDescent="0.2">
      <c r="A730" s="13"/>
      <c r="B730" s="13"/>
      <c r="C730" s="14"/>
    </row>
    <row r="731" spans="1:3" ht="12.75" x14ac:dyDescent="0.2">
      <c r="A731" s="13"/>
      <c r="B731" s="13"/>
      <c r="C731" s="14"/>
    </row>
    <row r="732" spans="1:3" ht="12.75" x14ac:dyDescent="0.2">
      <c r="A732" s="13"/>
      <c r="B732" s="13"/>
      <c r="C732" s="14"/>
    </row>
    <row r="733" spans="1:3" ht="12.75" x14ac:dyDescent="0.2">
      <c r="A733" s="13"/>
      <c r="B733" s="13"/>
      <c r="C733" s="14"/>
    </row>
    <row r="734" spans="1:3" ht="12.75" x14ac:dyDescent="0.2">
      <c r="A734" s="13"/>
      <c r="B734" s="13"/>
      <c r="C734" s="14"/>
    </row>
    <row r="735" spans="1:3" ht="12.75" x14ac:dyDescent="0.2">
      <c r="A735" s="13"/>
      <c r="B735" s="13"/>
      <c r="C735" s="14"/>
    </row>
    <row r="736" spans="1:3" ht="12.75" x14ac:dyDescent="0.2">
      <c r="A736" s="13"/>
      <c r="B736" s="13"/>
      <c r="C736" s="14"/>
    </row>
    <row r="737" spans="1:3" ht="12.75" x14ac:dyDescent="0.2">
      <c r="A737" s="13"/>
      <c r="B737" s="13"/>
      <c r="C737" s="14"/>
    </row>
    <row r="738" spans="1:3" ht="12.75" x14ac:dyDescent="0.2">
      <c r="A738" s="13"/>
      <c r="B738" s="13"/>
      <c r="C738" s="14"/>
    </row>
    <row r="739" spans="1:3" ht="12.75" x14ac:dyDescent="0.2">
      <c r="A739" s="13"/>
      <c r="B739" s="13"/>
      <c r="C739" s="14"/>
    </row>
    <row r="740" spans="1:3" ht="12.75" x14ac:dyDescent="0.2">
      <c r="A740" s="13"/>
      <c r="B740" s="13"/>
      <c r="C740" s="14"/>
    </row>
    <row r="741" spans="1:3" ht="12.75" x14ac:dyDescent="0.2">
      <c r="A741" s="13"/>
      <c r="B741" s="13"/>
      <c r="C741" s="14"/>
    </row>
    <row r="742" spans="1:3" ht="12.75" x14ac:dyDescent="0.2">
      <c r="A742" s="13"/>
      <c r="B742" s="13"/>
      <c r="C742" s="14"/>
    </row>
    <row r="743" spans="1:3" ht="12.75" x14ac:dyDescent="0.2">
      <c r="A743" s="13"/>
      <c r="B743" s="13"/>
      <c r="C743" s="14"/>
    </row>
    <row r="744" spans="1:3" ht="12.75" x14ac:dyDescent="0.2">
      <c r="A744" s="13"/>
      <c r="B744" s="13"/>
      <c r="C744" s="14"/>
    </row>
    <row r="745" spans="1:3" ht="12.75" x14ac:dyDescent="0.2">
      <c r="A745" s="13"/>
      <c r="B745" s="13"/>
      <c r="C745" s="14"/>
    </row>
    <row r="746" spans="1:3" ht="12.75" x14ac:dyDescent="0.2">
      <c r="A746" s="13"/>
      <c r="B746" s="13"/>
      <c r="C746" s="14"/>
    </row>
    <row r="747" spans="1:3" ht="12.75" x14ac:dyDescent="0.2">
      <c r="A747" s="13"/>
      <c r="B747" s="13"/>
      <c r="C747" s="14"/>
    </row>
    <row r="748" spans="1:3" ht="12.75" x14ac:dyDescent="0.2">
      <c r="A748" s="13"/>
      <c r="B748" s="13"/>
      <c r="C748" s="14"/>
    </row>
    <row r="749" spans="1:3" ht="12.75" x14ac:dyDescent="0.2">
      <c r="A749" s="13"/>
      <c r="B749" s="13"/>
      <c r="C749" s="14"/>
    </row>
    <row r="750" spans="1:3" ht="12.75" x14ac:dyDescent="0.2">
      <c r="A750" s="13"/>
      <c r="B750" s="13"/>
      <c r="C750" s="14"/>
    </row>
    <row r="751" spans="1:3" ht="12.75" x14ac:dyDescent="0.2">
      <c r="A751" s="13"/>
      <c r="B751" s="13"/>
      <c r="C751" s="14"/>
    </row>
    <row r="752" spans="1:3" ht="12.75" x14ac:dyDescent="0.2">
      <c r="A752" s="13"/>
      <c r="B752" s="13"/>
      <c r="C752" s="14"/>
    </row>
    <row r="753" spans="1:3" ht="12.75" x14ac:dyDescent="0.2">
      <c r="A753" s="13"/>
      <c r="B753" s="13"/>
      <c r="C753" s="14"/>
    </row>
    <row r="754" spans="1:3" ht="12.75" x14ac:dyDescent="0.2">
      <c r="A754" s="13"/>
      <c r="B754" s="13"/>
      <c r="C754" s="14"/>
    </row>
    <row r="755" spans="1:3" ht="12.75" x14ac:dyDescent="0.2">
      <c r="A755" s="13"/>
      <c r="B755" s="13"/>
      <c r="C755" s="14"/>
    </row>
    <row r="756" spans="1:3" ht="12.75" x14ac:dyDescent="0.2">
      <c r="A756" s="13"/>
      <c r="B756" s="13"/>
      <c r="C756" s="14"/>
    </row>
    <row r="757" spans="1:3" ht="12.75" x14ac:dyDescent="0.2">
      <c r="A757" s="13"/>
      <c r="B757" s="13"/>
      <c r="C757" s="14"/>
    </row>
    <row r="758" spans="1:3" ht="12.75" x14ac:dyDescent="0.2">
      <c r="A758" s="13"/>
      <c r="B758" s="13"/>
      <c r="C758" s="14"/>
    </row>
    <row r="759" spans="1:3" ht="12.75" x14ac:dyDescent="0.2">
      <c r="A759" s="13"/>
      <c r="B759" s="13"/>
      <c r="C759" s="14"/>
    </row>
    <row r="760" spans="1:3" ht="12.75" x14ac:dyDescent="0.2">
      <c r="A760" s="13"/>
      <c r="B760" s="13"/>
      <c r="C760" s="14"/>
    </row>
    <row r="761" spans="1:3" ht="12.75" x14ac:dyDescent="0.2">
      <c r="A761" s="13"/>
      <c r="B761" s="13"/>
      <c r="C761" s="14"/>
    </row>
    <row r="762" spans="1:3" ht="12.75" x14ac:dyDescent="0.2">
      <c r="A762" s="13"/>
      <c r="B762" s="13"/>
      <c r="C762" s="14"/>
    </row>
    <row r="763" spans="1:3" ht="12.75" x14ac:dyDescent="0.2">
      <c r="A763" s="13"/>
      <c r="B763" s="13"/>
      <c r="C763" s="14"/>
    </row>
    <row r="764" spans="1:3" ht="12.75" x14ac:dyDescent="0.2">
      <c r="A764" s="13"/>
      <c r="B764" s="13"/>
      <c r="C764" s="14"/>
    </row>
    <row r="765" spans="1:3" ht="12.75" x14ac:dyDescent="0.2">
      <c r="A765" s="13"/>
      <c r="B765" s="13"/>
      <c r="C765" s="14"/>
    </row>
    <row r="766" spans="1:3" ht="12.75" x14ac:dyDescent="0.2">
      <c r="A766" s="13"/>
      <c r="B766" s="13"/>
      <c r="C766" s="14"/>
    </row>
    <row r="767" spans="1:3" ht="12.75" x14ac:dyDescent="0.2">
      <c r="A767" s="13"/>
      <c r="B767" s="13"/>
      <c r="C767" s="14"/>
    </row>
    <row r="768" spans="1:3" ht="12.75" x14ac:dyDescent="0.2">
      <c r="A768" s="13"/>
      <c r="B768" s="13"/>
      <c r="C768" s="14"/>
    </row>
    <row r="769" spans="1:3" ht="12.75" x14ac:dyDescent="0.2">
      <c r="A769" s="13"/>
      <c r="B769" s="13"/>
      <c r="C769" s="14"/>
    </row>
    <row r="770" spans="1:3" ht="12.75" x14ac:dyDescent="0.2">
      <c r="A770" s="13"/>
      <c r="B770" s="13"/>
      <c r="C770" s="14"/>
    </row>
    <row r="771" spans="1:3" ht="12.75" x14ac:dyDescent="0.2">
      <c r="A771" s="13"/>
      <c r="B771" s="13"/>
      <c r="C771" s="14"/>
    </row>
    <row r="772" spans="1:3" ht="12.75" x14ac:dyDescent="0.2">
      <c r="A772" s="13"/>
      <c r="B772" s="13"/>
      <c r="C772" s="14"/>
    </row>
    <row r="773" spans="1:3" ht="12.75" x14ac:dyDescent="0.2">
      <c r="A773" s="13"/>
      <c r="B773" s="13"/>
      <c r="C773" s="14"/>
    </row>
    <row r="774" spans="1:3" ht="12.75" x14ac:dyDescent="0.2">
      <c r="A774" s="13"/>
      <c r="B774" s="13"/>
      <c r="C774" s="14"/>
    </row>
    <row r="775" spans="1:3" ht="12.75" x14ac:dyDescent="0.2">
      <c r="A775" s="13"/>
      <c r="B775" s="13"/>
      <c r="C775" s="14"/>
    </row>
    <row r="776" spans="1:3" ht="12.75" x14ac:dyDescent="0.2">
      <c r="A776" s="13"/>
      <c r="B776" s="13"/>
      <c r="C776" s="14"/>
    </row>
    <row r="777" spans="1:3" ht="12.75" x14ac:dyDescent="0.2">
      <c r="A777" s="13"/>
      <c r="B777" s="13"/>
      <c r="C777" s="14"/>
    </row>
    <row r="778" spans="1:3" ht="12.75" x14ac:dyDescent="0.2">
      <c r="A778" s="13"/>
      <c r="B778" s="13"/>
      <c r="C778" s="14"/>
    </row>
    <row r="779" spans="1:3" ht="12.75" x14ac:dyDescent="0.2">
      <c r="A779" s="13"/>
      <c r="B779" s="13"/>
      <c r="C779" s="14"/>
    </row>
    <row r="780" spans="1:3" ht="12.75" x14ac:dyDescent="0.2">
      <c r="A780" s="13"/>
      <c r="B780" s="13"/>
      <c r="C780" s="14"/>
    </row>
    <row r="781" spans="1:3" ht="12.75" x14ac:dyDescent="0.2">
      <c r="A781" s="13"/>
      <c r="B781" s="13"/>
      <c r="C781" s="14"/>
    </row>
    <row r="782" spans="1:3" ht="12.75" x14ac:dyDescent="0.2">
      <c r="A782" s="13"/>
      <c r="B782" s="13"/>
      <c r="C782" s="14"/>
    </row>
    <row r="783" spans="1:3" ht="12.75" x14ac:dyDescent="0.2">
      <c r="A783" s="13"/>
      <c r="B783" s="13"/>
      <c r="C783" s="14"/>
    </row>
    <row r="784" spans="1:3" ht="12.75" x14ac:dyDescent="0.2">
      <c r="A784" s="13"/>
      <c r="B784" s="13"/>
      <c r="C784" s="14"/>
    </row>
    <row r="785" spans="1:3" ht="12.75" x14ac:dyDescent="0.2">
      <c r="A785" s="13"/>
      <c r="B785" s="13"/>
      <c r="C785" s="14"/>
    </row>
    <row r="786" spans="1:3" ht="12.75" x14ac:dyDescent="0.2">
      <c r="A786" s="13"/>
      <c r="B786" s="13"/>
      <c r="C786" s="14"/>
    </row>
    <row r="787" spans="1:3" ht="12.75" x14ac:dyDescent="0.2">
      <c r="A787" s="13"/>
      <c r="B787" s="13"/>
      <c r="C787" s="14"/>
    </row>
    <row r="788" spans="1:3" ht="12.75" x14ac:dyDescent="0.2">
      <c r="A788" s="13"/>
      <c r="B788" s="13"/>
      <c r="C788" s="14"/>
    </row>
    <row r="789" spans="1:3" ht="12.75" x14ac:dyDescent="0.2">
      <c r="A789" s="13"/>
      <c r="B789" s="13"/>
      <c r="C789" s="14"/>
    </row>
    <row r="790" spans="1:3" ht="12.75" x14ac:dyDescent="0.2">
      <c r="A790" s="13"/>
      <c r="B790" s="13"/>
      <c r="C790" s="14"/>
    </row>
    <row r="791" spans="1:3" ht="12.75" x14ac:dyDescent="0.2">
      <c r="A791" s="13"/>
      <c r="B791" s="13"/>
      <c r="C791" s="14"/>
    </row>
    <row r="792" spans="1:3" ht="12.75" x14ac:dyDescent="0.2">
      <c r="A792" s="13"/>
      <c r="B792" s="13"/>
      <c r="C792" s="14"/>
    </row>
    <row r="793" spans="1:3" ht="12.75" x14ac:dyDescent="0.2">
      <c r="A793" s="13"/>
      <c r="B793" s="13"/>
      <c r="C793" s="14"/>
    </row>
    <row r="794" spans="1:3" ht="12.75" x14ac:dyDescent="0.2">
      <c r="A794" s="13"/>
      <c r="B794" s="13"/>
      <c r="C794" s="14"/>
    </row>
    <row r="795" spans="1:3" ht="12.75" x14ac:dyDescent="0.2">
      <c r="A795" s="13"/>
      <c r="B795" s="13"/>
      <c r="C795" s="14"/>
    </row>
    <row r="796" spans="1:3" ht="12.75" x14ac:dyDescent="0.2">
      <c r="A796" s="13"/>
      <c r="B796" s="13"/>
      <c r="C796" s="14"/>
    </row>
    <row r="797" spans="1:3" ht="12.75" x14ac:dyDescent="0.2">
      <c r="A797" s="13"/>
      <c r="B797" s="13"/>
      <c r="C797" s="14"/>
    </row>
    <row r="798" spans="1:3" ht="12.75" x14ac:dyDescent="0.2">
      <c r="A798" s="13"/>
      <c r="B798" s="13"/>
      <c r="C798" s="14"/>
    </row>
    <row r="799" spans="1:3" ht="12.75" x14ac:dyDescent="0.2">
      <c r="A799" s="13"/>
      <c r="B799" s="13"/>
      <c r="C799" s="14"/>
    </row>
    <row r="800" spans="1:3" ht="12.75" x14ac:dyDescent="0.2">
      <c r="A800" s="13"/>
      <c r="B800" s="13"/>
      <c r="C800" s="14"/>
    </row>
    <row r="801" spans="1:3" ht="12.75" x14ac:dyDescent="0.2">
      <c r="A801" s="13"/>
      <c r="B801" s="13"/>
      <c r="C801" s="14"/>
    </row>
    <row r="802" spans="1:3" ht="12.75" x14ac:dyDescent="0.2">
      <c r="A802" s="13"/>
      <c r="B802" s="13"/>
      <c r="C802" s="14"/>
    </row>
    <row r="803" spans="1:3" ht="12.75" x14ac:dyDescent="0.2">
      <c r="A803" s="13"/>
      <c r="B803" s="13"/>
      <c r="C803" s="14"/>
    </row>
    <row r="804" spans="1:3" ht="12.75" x14ac:dyDescent="0.2">
      <c r="A804" s="13"/>
      <c r="B804" s="13"/>
      <c r="C804" s="14"/>
    </row>
    <row r="805" spans="1:3" ht="12.75" x14ac:dyDescent="0.2">
      <c r="A805" s="13"/>
      <c r="B805" s="13"/>
      <c r="C805" s="14"/>
    </row>
    <row r="806" spans="1:3" ht="12.75" x14ac:dyDescent="0.2">
      <c r="A806" s="13"/>
      <c r="B806" s="13"/>
      <c r="C806" s="14"/>
    </row>
    <row r="807" spans="1:3" ht="12.75" x14ac:dyDescent="0.2">
      <c r="A807" s="13"/>
      <c r="B807" s="13"/>
      <c r="C807" s="14"/>
    </row>
    <row r="808" spans="1:3" ht="12.75" x14ac:dyDescent="0.2">
      <c r="A808" s="13"/>
      <c r="B808" s="13"/>
      <c r="C808" s="14"/>
    </row>
    <row r="809" spans="1:3" ht="12.75" x14ac:dyDescent="0.2">
      <c r="A809" s="13"/>
      <c r="B809" s="13"/>
      <c r="C809" s="14"/>
    </row>
    <row r="810" spans="1:3" ht="12.75" x14ac:dyDescent="0.2">
      <c r="A810" s="13"/>
      <c r="B810" s="13"/>
      <c r="C810" s="14"/>
    </row>
    <row r="811" spans="1:3" ht="12.75" x14ac:dyDescent="0.2">
      <c r="A811" s="13"/>
      <c r="B811" s="13"/>
      <c r="C811" s="14"/>
    </row>
    <row r="812" spans="1:3" ht="12.75" x14ac:dyDescent="0.2">
      <c r="A812" s="13"/>
      <c r="B812" s="13"/>
      <c r="C812" s="14"/>
    </row>
    <row r="813" spans="1:3" ht="12.75" x14ac:dyDescent="0.2">
      <c r="A813" s="13"/>
      <c r="B813" s="13"/>
      <c r="C813" s="14"/>
    </row>
    <row r="814" spans="1:3" ht="12.75" x14ac:dyDescent="0.2">
      <c r="A814" s="13"/>
      <c r="B814" s="13"/>
      <c r="C814" s="14"/>
    </row>
    <row r="815" spans="1:3" ht="12.75" x14ac:dyDescent="0.2">
      <c r="A815" s="13"/>
      <c r="B815" s="13"/>
      <c r="C815" s="14"/>
    </row>
    <row r="816" spans="1:3" ht="12.75" x14ac:dyDescent="0.2">
      <c r="A816" s="13"/>
      <c r="B816" s="13"/>
      <c r="C816" s="14"/>
    </row>
    <row r="817" spans="1:3" ht="12.75" x14ac:dyDescent="0.2">
      <c r="A817" s="13"/>
      <c r="B817" s="13"/>
      <c r="C817" s="14"/>
    </row>
    <row r="818" spans="1:3" ht="12.75" x14ac:dyDescent="0.2">
      <c r="A818" s="13"/>
      <c r="B818" s="13"/>
      <c r="C818" s="14"/>
    </row>
    <row r="819" spans="1:3" ht="12.75" x14ac:dyDescent="0.2">
      <c r="A819" s="13"/>
      <c r="B819" s="13"/>
      <c r="C819" s="14"/>
    </row>
    <row r="820" spans="1:3" ht="12.75" x14ac:dyDescent="0.2">
      <c r="A820" s="13"/>
      <c r="B820" s="13"/>
      <c r="C820" s="14"/>
    </row>
    <row r="821" spans="1:3" ht="12.75" x14ac:dyDescent="0.2">
      <c r="A821" s="13"/>
      <c r="B821" s="13"/>
      <c r="C821" s="14"/>
    </row>
    <row r="822" spans="1:3" ht="12.75" x14ac:dyDescent="0.2">
      <c r="A822" s="13"/>
      <c r="B822" s="13"/>
      <c r="C822" s="14"/>
    </row>
    <row r="823" spans="1:3" ht="12.75" x14ac:dyDescent="0.2">
      <c r="A823" s="13"/>
      <c r="B823" s="13"/>
      <c r="C823" s="14"/>
    </row>
    <row r="824" spans="1:3" ht="12.75" x14ac:dyDescent="0.2">
      <c r="A824" s="13"/>
      <c r="B824" s="13"/>
      <c r="C824" s="14"/>
    </row>
    <row r="825" spans="1:3" ht="12.75" x14ac:dyDescent="0.2">
      <c r="A825" s="13"/>
      <c r="B825" s="13"/>
      <c r="C825" s="14"/>
    </row>
    <row r="826" spans="1:3" ht="12.75" x14ac:dyDescent="0.2">
      <c r="A826" s="13"/>
      <c r="B826" s="13"/>
      <c r="C826" s="14"/>
    </row>
    <row r="827" spans="1:3" ht="12.75" x14ac:dyDescent="0.2">
      <c r="A827" s="13"/>
      <c r="B827" s="13"/>
      <c r="C827" s="14"/>
    </row>
    <row r="828" spans="1:3" ht="12.75" x14ac:dyDescent="0.2">
      <c r="A828" s="13"/>
      <c r="B828" s="13"/>
      <c r="C828" s="14"/>
    </row>
    <row r="829" spans="1:3" ht="12.75" x14ac:dyDescent="0.2">
      <c r="A829" s="13"/>
      <c r="B829" s="13"/>
      <c r="C829" s="14"/>
    </row>
    <row r="830" spans="1:3" ht="12.75" x14ac:dyDescent="0.2">
      <c r="A830" s="13"/>
      <c r="B830" s="13"/>
      <c r="C830" s="14"/>
    </row>
    <row r="831" spans="1:3" ht="12.75" x14ac:dyDescent="0.2">
      <c r="A831" s="13"/>
      <c r="B831" s="13"/>
      <c r="C831" s="14"/>
    </row>
    <row r="832" spans="1:3" ht="12.75" x14ac:dyDescent="0.2">
      <c r="A832" s="13"/>
      <c r="B832" s="13"/>
      <c r="C832" s="14"/>
    </row>
    <row r="833" spans="1:3" ht="12.75" x14ac:dyDescent="0.2">
      <c r="A833" s="13"/>
      <c r="B833" s="13"/>
      <c r="C833" s="14"/>
    </row>
    <row r="834" spans="1:3" ht="12.75" x14ac:dyDescent="0.2">
      <c r="A834" s="13"/>
      <c r="B834" s="13"/>
      <c r="C834" s="14"/>
    </row>
    <row r="835" spans="1:3" ht="12.75" x14ac:dyDescent="0.2">
      <c r="A835" s="13"/>
      <c r="B835" s="13"/>
      <c r="C835" s="14"/>
    </row>
    <row r="836" spans="1:3" ht="12.75" x14ac:dyDescent="0.2">
      <c r="A836" s="13"/>
      <c r="B836" s="13"/>
      <c r="C836" s="14"/>
    </row>
    <row r="837" spans="1:3" ht="12.75" x14ac:dyDescent="0.2">
      <c r="A837" s="13"/>
      <c r="B837" s="13"/>
      <c r="C837" s="14"/>
    </row>
    <row r="838" spans="1:3" ht="12.75" x14ac:dyDescent="0.2">
      <c r="A838" s="13"/>
      <c r="B838" s="13"/>
      <c r="C838" s="14"/>
    </row>
    <row r="839" spans="1:3" ht="12.75" x14ac:dyDescent="0.2">
      <c r="A839" s="13"/>
      <c r="B839" s="13"/>
      <c r="C839" s="14"/>
    </row>
    <row r="840" spans="1:3" ht="12.75" x14ac:dyDescent="0.2">
      <c r="A840" s="13"/>
      <c r="B840" s="13"/>
      <c r="C840" s="14"/>
    </row>
    <row r="841" spans="1:3" ht="12.75" x14ac:dyDescent="0.2">
      <c r="A841" s="13"/>
      <c r="B841" s="13"/>
      <c r="C841" s="14"/>
    </row>
    <row r="842" spans="1:3" ht="12.75" x14ac:dyDescent="0.2">
      <c r="A842" s="13"/>
      <c r="B842" s="13"/>
      <c r="C842" s="14"/>
    </row>
    <row r="843" spans="1:3" ht="12.75" x14ac:dyDescent="0.2">
      <c r="A843" s="13"/>
      <c r="B843" s="13"/>
      <c r="C843" s="14"/>
    </row>
    <row r="844" spans="1:3" ht="12.75" x14ac:dyDescent="0.2">
      <c r="A844" s="13"/>
      <c r="B844" s="13"/>
      <c r="C844" s="14"/>
    </row>
    <row r="845" spans="1:3" ht="12.75" x14ac:dyDescent="0.2">
      <c r="A845" s="13"/>
      <c r="B845" s="13"/>
      <c r="C845" s="14"/>
    </row>
    <row r="846" spans="1:3" ht="12.75" x14ac:dyDescent="0.2">
      <c r="A846" s="13"/>
      <c r="B846" s="13"/>
      <c r="C846" s="14"/>
    </row>
    <row r="847" spans="1:3" ht="12.75" x14ac:dyDescent="0.2">
      <c r="A847" s="13"/>
      <c r="B847" s="13"/>
      <c r="C847" s="14"/>
    </row>
    <row r="848" spans="1:3" ht="12.75" x14ac:dyDescent="0.2">
      <c r="A848" s="13"/>
      <c r="B848" s="13"/>
      <c r="C848" s="14"/>
    </row>
    <row r="849" spans="1:3" ht="12.75" x14ac:dyDescent="0.2">
      <c r="A849" s="13"/>
      <c r="B849" s="13"/>
      <c r="C849" s="14"/>
    </row>
    <row r="850" spans="1:3" ht="12.75" x14ac:dyDescent="0.2">
      <c r="A850" s="13"/>
      <c r="B850" s="13"/>
      <c r="C850" s="14"/>
    </row>
    <row r="851" spans="1:3" ht="12.75" x14ac:dyDescent="0.2">
      <c r="A851" s="13"/>
      <c r="B851" s="13"/>
      <c r="C851" s="14"/>
    </row>
    <row r="852" spans="1:3" ht="12.75" x14ac:dyDescent="0.2">
      <c r="A852" s="13"/>
      <c r="B852" s="13"/>
      <c r="C852" s="14"/>
    </row>
    <row r="853" spans="1:3" ht="12.75" x14ac:dyDescent="0.2">
      <c r="A853" s="13"/>
      <c r="B853" s="13"/>
      <c r="C853" s="14"/>
    </row>
    <row r="854" spans="1:3" ht="12.75" x14ac:dyDescent="0.2">
      <c r="A854" s="13"/>
      <c r="B854" s="13"/>
      <c r="C854" s="14"/>
    </row>
    <row r="855" spans="1:3" ht="12.75" x14ac:dyDescent="0.2">
      <c r="A855" s="13"/>
      <c r="B855" s="13"/>
      <c r="C855" s="14"/>
    </row>
    <row r="856" spans="1:3" ht="12.75" x14ac:dyDescent="0.2">
      <c r="A856" s="13"/>
      <c r="B856" s="13"/>
      <c r="C856" s="14"/>
    </row>
    <row r="857" spans="1:3" ht="12.75" x14ac:dyDescent="0.2">
      <c r="A857" s="13"/>
      <c r="B857" s="13"/>
      <c r="C857" s="14"/>
    </row>
    <row r="858" spans="1:3" ht="12.75" x14ac:dyDescent="0.2">
      <c r="A858" s="13"/>
      <c r="B858" s="13"/>
      <c r="C858" s="14"/>
    </row>
    <row r="859" spans="1:3" ht="12.75" x14ac:dyDescent="0.2">
      <c r="A859" s="13"/>
      <c r="B859" s="13"/>
      <c r="C859" s="14"/>
    </row>
    <row r="860" spans="1:3" ht="12.75" x14ac:dyDescent="0.2">
      <c r="A860" s="13"/>
      <c r="B860" s="13"/>
      <c r="C860" s="14"/>
    </row>
    <row r="861" spans="1:3" ht="12.75" x14ac:dyDescent="0.2">
      <c r="A861" s="13"/>
      <c r="B861" s="13"/>
      <c r="C861" s="14"/>
    </row>
    <row r="862" spans="1:3" ht="12.75" x14ac:dyDescent="0.2">
      <c r="A862" s="13"/>
      <c r="B862" s="13"/>
      <c r="C862" s="14"/>
    </row>
    <row r="863" spans="1:3" ht="12.75" x14ac:dyDescent="0.2">
      <c r="A863" s="13"/>
      <c r="B863" s="13"/>
      <c r="C863" s="14"/>
    </row>
    <row r="864" spans="1:3" ht="12.75" x14ac:dyDescent="0.2">
      <c r="A864" s="13"/>
      <c r="B864" s="13"/>
      <c r="C864" s="14"/>
    </row>
    <row r="865" spans="1:3" ht="12.75" x14ac:dyDescent="0.2">
      <c r="A865" s="13"/>
      <c r="B865" s="13"/>
      <c r="C865" s="14"/>
    </row>
    <row r="866" spans="1:3" ht="12.75" x14ac:dyDescent="0.2">
      <c r="A866" s="13"/>
      <c r="B866" s="13"/>
      <c r="C866" s="14"/>
    </row>
    <row r="867" spans="1:3" ht="12.75" x14ac:dyDescent="0.2">
      <c r="A867" s="13"/>
      <c r="B867" s="13"/>
      <c r="C867" s="14"/>
    </row>
    <row r="868" spans="1:3" ht="12.75" x14ac:dyDescent="0.2">
      <c r="A868" s="13"/>
      <c r="B868" s="13"/>
      <c r="C868" s="14"/>
    </row>
    <row r="869" spans="1:3" ht="12.75" x14ac:dyDescent="0.2">
      <c r="A869" s="13"/>
      <c r="B869" s="13"/>
      <c r="C869" s="14"/>
    </row>
    <row r="870" spans="1:3" ht="12.75" x14ac:dyDescent="0.2">
      <c r="A870" s="13"/>
      <c r="B870" s="13"/>
      <c r="C870" s="14"/>
    </row>
    <row r="871" spans="1:3" ht="12.75" x14ac:dyDescent="0.2">
      <c r="A871" s="13"/>
      <c r="B871" s="13"/>
      <c r="C871" s="14"/>
    </row>
    <row r="872" spans="1:3" ht="12.75" x14ac:dyDescent="0.2">
      <c r="A872" s="13"/>
      <c r="B872" s="13"/>
      <c r="C872" s="14"/>
    </row>
    <row r="873" spans="1:3" ht="12.75" x14ac:dyDescent="0.2">
      <c r="A873" s="13"/>
      <c r="B873" s="13"/>
      <c r="C873" s="14"/>
    </row>
    <row r="874" spans="1:3" ht="12.75" x14ac:dyDescent="0.2">
      <c r="A874" s="13"/>
      <c r="B874" s="13"/>
      <c r="C874" s="14"/>
    </row>
    <row r="875" spans="1:3" ht="12.75" x14ac:dyDescent="0.2">
      <c r="A875" s="13"/>
      <c r="B875" s="13"/>
      <c r="C875" s="14"/>
    </row>
    <row r="876" spans="1:3" ht="12.75" x14ac:dyDescent="0.2">
      <c r="A876" s="13"/>
      <c r="B876" s="13"/>
      <c r="C876" s="14"/>
    </row>
    <row r="877" spans="1:3" ht="12.75" x14ac:dyDescent="0.2">
      <c r="A877" s="13"/>
      <c r="B877" s="13"/>
      <c r="C877" s="14"/>
    </row>
    <row r="878" spans="1:3" ht="12.75" x14ac:dyDescent="0.2">
      <c r="A878" s="13"/>
      <c r="B878" s="13"/>
      <c r="C878" s="14"/>
    </row>
    <row r="879" spans="1:3" ht="12.75" x14ac:dyDescent="0.2">
      <c r="A879" s="13"/>
      <c r="B879" s="13"/>
      <c r="C879" s="14"/>
    </row>
    <row r="880" spans="1:3" ht="12.75" x14ac:dyDescent="0.2">
      <c r="A880" s="13"/>
      <c r="B880" s="13"/>
      <c r="C880" s="14"/>
    </row>
    <row r="881" spans="1:3" ht="12.75" x14ac:dyDescent="0.2">
      <c r="A881" s="13"/>
      <c r="B881" s="13"/>
      <c r="C881" s="14"/>
    </row>
    <row r="882" spans="1:3" ht="12.75" x14ac:dyDescent="0.2">
      <c r="A882" s="13"/>
      <c r="B882" s="13"/>
      <c r="C882" s="14"/>
    </row>
    <row r="883" spans="1:3" ht="12.75" x14ac:dyDescent="0.2">
      <c r="A883" s="13"/>
      <c r="B883" s="13"/>
      <c r="C883" s="14"/>
    </row>
    <row r="884" spans="1:3" ht="12.75" x14ac:dyDescent="0.2">
      <c r="A884" s="13"/>
      <c r="B884" s="13"/>
      <c r="C884" s="14"/>
    </row>
    <row r="885" spans="1:3" ht="12.75" x14ac:dyDescent="0.2">
      <c r="A885" s="13"/>
      <c r="B885" s="13"/>
      <c r="C885" s="14"/>
    </row>
    <row r="886" spans="1:3" ht="12.75" x14ac:dyDescent="0.2">
      <c r="A886" s="13"/>
      <c r="B886" s="13"/>
      <c r="C886" s="14"/>
    </row>
    <row r="887" spans="1:3" ht="12.75" x14ac:dyDescent="0.2">
      <c r="A887" s="13"/>
      <c r="B887" s="13"/>
      <c r="C887" s="14"/>
    </row>
    <row r="888" spans="1:3" ht="12.75" x14ac:dyDescent="0.2">
      <c r="A888" s="13"/>
      <c r="B888" s="13"/>
      <c r="C888" s="14"/>
    </row>
    <row r="889" spans="1:3" ht="12.75" x14ac:dyDescent="0.2">
      <c r="A889" s="13"/>
      <c r="B889" s="13"/>
      <c r="C889" s="14"/>
    </row>
    <row r="890" spans="1:3" ht="12.75" x14ac:dyDescent="0.2">
      <c r="A890" s="13"/>
      <c r="B890" s="13"/>
      <c r="C890" s="14"/>
    </row>
    <row r="891" spans="1:3" ht="12.75" x14ac:dyDescent="0.2">
      <c r="A891" s="13"/>
      <c r="B891" s="13"/>
      <c r="C891" s="14"/>
    </row>
    <row r="892" spans="1:3" ht="12.75" x14ac:dyDescent="0.2">
      <c r="A892" s="13"/>
      <c r="B892" s="13"/>
      <c r="C892" s="14"/>
    </row>
    <row r="893" spans="1:3" ht="12.75" x14ac:dyDescent="0.2">
      <c r="A893" s="13"/>
      <c r="B893" s="13"/>
      <c r="C893" s="14"/>
    </row>
    <row r="894" spans="1:3" ht="12.75" x14ac:dyDescent="0.2">
      <c r="A894" s="13"/>
      <c r="B894" s="13"/>
      <c r="C894" s="14"/>
    </row>
    <row r="895" spans="1:3" ht="12.75" x14ac:dyDescent="0.2">
      <c r="A895" s="13"/>
      <c r="B895" s="13"/>
      <c r="C895" s="14"/>
    </row>
    <row r="896" spans="1:3" ht="12.75" x14ac:dyDescent="0.2">
      <c r="A896" s="13"/>
      <c r="B896" s="13"/>
      <c r="C896" s="14"/>
    </row>
    <row r="897" spans="1:3" ht="12.75" x14ac:dyDescent="0.2">
      <c r="A897" s="13"/>
      <c r="B897" s="13"/>
      <c r="C897" s="14"/>
    </row>
    <row r="898" spans="1:3" ht="12.75" x14ac:dyDescent="0.2">
      <c r="A898" s="13"/>
      <c r="B898" s="13"/>
      <c r="C898" s="14"/>
    </row>
    <row r="899" spans="1:3" ht="12.75" x14ac:dyDescent="0.2">
      <c r="A899" s="13"/>
      <c r="B899" s="13"/>
      <c r="C899" s="14"/>
    </row>
    <row r="900" spans="1:3" ht="12.75" x14ac:dyDescent="0.2">
      <c r="A900" s="13"/>
      <c r="B900" s="13"/>
      <c r="C900" s="14"/>
    </row>
    <row r="901" spans="1:3" ht="12.75" x14ac:dyDescent="0.2">
      <c r="A901" s="13"/>
      <c r="B901" s="13"/>
      <c r="C901" s="14"/>
    </row>
    <row r="902" spans="1:3" ht="12.75" x14ac:dyDescent="0.2">
      <c r="A902" s="13"/>
      <c r="B902" s="13"/>
      <c r="C902" s="14"/>
    </row>
    <row r="903" spans="1:3" ht="12.75" x14ac:dyDescent="0.2">
      <c r="A903" s="13"/>
      <c r="B903" s="13"/>
      <c r="C903" s="14"/>
    </row>
    <row r="904" spans="1:3" ht="12.75" x14ac:dyDescent="0.2">
      <c r="A904" s="13"/>
      <c r="B904" s="13"/>
      <c r="C904" s="14"/>
    </row>
    <row r="905" spans="1:3" ht="12.75" x14ac:dyDescent="0.2">
      <c r="A905" s="13"/>
      <c r="B905" s="13"/>
      <c r="C905" s="14"/>
    </row>
    <row r="906" spans="1:3" ht="12.75" x14ac:dyDescent="0.2">
      <c r="A906" s="13"/>
      <c r="B906" s="13"/>
      <c r="C906" s="14"/>
    </row>
    <row r="907" spans="1:3" ht="12.75" x14ac:dyDescent="0.2">
      <c r="A907" s="13"/>
      <c r="B907" s="13"/>
      <c r="C907" s="14"/>
    </row>
    <row r="908" spans="1:3" ht="12.75" x14ac:dyDescent="0.2">
      <c r="A908" s="13"/>
      <c r="B908" s="13"/>
      <c r="C908" s="14"/>
    </row>
    <row r="909" spans="1:3" ht="12.75" x14ac:dyDescent="0.2">
      <c r="A909" s="13"/>
      <c r="B909" s="13"/>
      <c r="C909" s="14"/>
    </row>
    <row r="910" spans="1:3" ht="12.75" x14ac:dyDescent="0.2">
      <c r="A910" s="13"/>
      <c r="B910" s="13"/>
      <c r="C910" s="14"/>
    </row>
    <row r="911" spans="1:3" ht="12.75" x14ac:dyDescent="0.2">
      <c r="A911" s="13"/>
      <c r="B911" s="13"/>
      <c r="C911" s="14"/>
    </row>
    <row r="912" spans="1:3" ht="12.75" x14ac:dyDescent="0.2">
      <c r="A912" s="13"/>
      <c r="B912" s="13"/>
      <c r="C912" s="14"/>
    </row>
    <row r="913" spans="1:3" ht="12.75" x14ac:dyDescent="0.2">
      <c r="A913" s="13"/>
      <c r="B913" s="13"/>
      <c r="C913" s="14"/>
    </row>
    <row r="914" spans="1:3" ht="12.75" x14ac:dyDescent="0.2">
      <c r="A914" s="13"/>
      <c r="B914" s="13"/>
      <c r="C914" s="14"/>
    </row>
    <row r="915" spans="1:3" ht="12.75" x14ac:dyDescent="0.2">
      <c r="A915" s="13"/>
      <c r="B915" s="13"/>
      <c r="C915" s="14"/>
    </row>
    <row r="916" spans="1:3" ht="12.75" x14ac:dyDescent="0.2">
      <c r="A916" s="13"/>
      <c r="B916" s="13"/>
      <c r="C916" s="14"/>
    </row>
    <row r="917" spans="1:3" ht="12.75" x14ac:dyDescent="0.2">
      <c r="A917" s="13"/>
      <c r="B917" s="13"/>
      <c r="C917" s="14"/>
    </row>
    <row r="918" spans="1:3" ht="12.75" x14ac:dyDescent="0.2">
      <c r="A918" s="13"/>
      <c r="B918" s="13"/>
      <c r="C918" s="14"/>
    </row>
    <row r="919" spans="1:3" ht="12.75" x14ac:dyDescent="0.2">
      <c r="A919" s="13"/>
      <c r="B919" s="13"/>
      <c r="C919" s="14"/>
    </row>
    <row r="920" spans="1:3" ht="12.75" x14ac:dyDescent="0.2">
      <c r="A920" s="13"/>
      <c r="B920" s="13"/>
      <c r="C920" s="14"/>
    </row>
    <row r="921" spans="1:3" ht="12.75" x14ac:dyDescent="0.2">
      <c r="A921" s="13"/>
      <c r="B921" s="13"/>
      <c r="C921" s="14"/>
    </row>
    <row r="922" spans="1:3" ht="12.75" x14ac:dyDescent="0.2">
      <c r="A922" s="13"/>
      <c r="B922" s="13"/>
      <c r="C922" s="14"/>
    </row>
    <row r="923" spans="1:3" ht="12.75" x14ac:dyDescent="0.2">
      <c r="A923" s="13"/>
      <c r="B923" s="13"/>
      <c r="C923" s="14"/>
    </row>
    <row r="924" spans="1:3" ht="12.75" x14ac:dyDescent="0.2">
      <c r="A924" s="13"/>
      <c r="B924" s="13"/>
      <c r="C924" s="14"/>
    </row>
    <row r="925" spans="1:3" ht="12.75" x14ac:dyDescent="0.2">
      <c r="A925" s="13"/>
      <c r="B925" s="13"/>
      <c r="C925" s="14"/>
    </row>
    <row r="926" spans="1:3" ht="12.75" x14ac:dyDescent="0.2">
      <c r="A926" s="13"/>
      <c r="B926" s="13"/>
      <c r="C926" s="14"/>
    </row>
    <row r="927" spans="1:3" ht="12.75" x14ac:dyDescent="0.2">
      <c r="A927" s="13"/>
      <c r="B927" s="13"/>
      <c r="C927" s="14"/>
    </row>
    <row r="928" spans="1:3" ht="12.75" x14ac:dyDescent="0.2">
      <c r="A928" s="13"/>
      <c r="B928" s="13"/>
      <c r="C928" s="14"/>
    </row>
    <row r="929" spans="1:3" ht="12.75" x14ac:dyDescent="0.2">
      <c r="A929" s="13"/>
      <c r="B929" s="13"/>
      <c r="C929" s="14"/>
    </row>
    <row r="930" spans="1:3" ht="12.75" x14ac:dyDescent="0.2">
      <c r="A930" s="13"/>
      <c r="B930" s="13"/>
      <c r="C930" s="14"/>
    </row>
    <row r="931" spans="1:3" ht="12.75" x14ac:dyDescent="0.2">
      <c r="A931" s="13"/>
      <c r="B931" s="13"/>
      <c r="C931" s="14"/>
    </row>
    <row r="932" spans="1:3" ht="12.75" x14ac:dyDescent="0.2">
      <c r="A932" s="13"/>
      <c r="B932" s="13"/>
      <c r="C932" s="14"/>
    </row>
    <row r="933" spans="1:3" ht="12.75" x14ac:dyDescent="0.2">
      <c r="A933" s="13"/>
      <c r="B933" s="13"/>
      <c r="C933" s="14"/>
    </row>
    <row r="934" spans="1:3" ht="12.75" x14ac:dyDescent="0.2">
      <c r="A934" s="13"/>
      <c r="B934" s="13"/>
      <c r="C934" s="14"/>
    </row>
    <row r="935" spans="1:3" ht="12.75" x14ac:dyDescent="0.2">
      <c r="A935" s="13"/>
      <c r="B935" s="13"/>
      <c r="C935" s="14"/>
    </row>
    <row r="936" spans="1:3" ht="12.75" x14ac:dyDescent="0.2">
      <c r="A936" s="13"/>
      <c r="B936" s="13"/>
      <c r="C936" s="14"/>
    </row>
    <row r="937" spans="1:3" ht="12.75" x14ac:dyDescent="0.2">
      <c r="A937" s="13"/>
      <c r="B937" s="13"/>
      <c r="C937" s="14"/>
    </row>
    <row r="938" spans="1:3" ht="12.75" x14ac:dyDescent="0.2">
      <c r="A938" s="13"/>
      <c r="B938" s="13"/>
      <c r="C938" s="14"/>
    </row>
    <row r="939" spans="1:3" ht="12.75" x14ac:dyDescent="0.2">
      <c r="A939" s="13"/>
      <c r="B939" s="13"/>
      <c r="C939" s="14"/>
    </row>
    <row r="940" spans="1:3" ht="12.75" x14ac:dyDescent="0.2">
      <c r="A940" s="13"/>
      <c r="B940" s="13"/>
      <c r="C940" s="14"/>
    </row>
    <row r="941" spans="1:3" ht="12.75" x14ac:dyDescent="0.2">
      <c r="A941" s="13"/>
      <c r="B941" s="13"/>
      <c r="C941" s="14"/>
    </row>
    <row r="942" spans="1:3" ht="12.75" x14ac:dyDescent="0.2">
      <c r="A942" s="13"/>
      <c r="B942" s="13"/>
      <c r="C942" s="14"/>
    </row>
    <row r="943" spans="1:3" ht="12.75" x14ac:dyDescent="0.2">
      <c r="A943" s="13"/>
      <c r="B943" s="13"/>
      <c r="C943" s="14"/>
    </row>
    <row r="944" spans="1:3" ht="12.75" x14ac:dyDescent="0.2">
      <c r="A944" s="13"/>
      <c r="B944" s="13"/>
      <c r="C944" s="14"/>
    </row>
    <row r="945" spans="1:3" ht="12.75" x14ac:dyDescent="0.2">
      <c r="A945" s="13"/>
      <c r="B945" s="13"/>
      <c r="C945" s="14"/>
    </row>
    <row r="946" spans="1:3" ht="12.75" x14ac:dyDescent="0.2">
      <c r="A946" s="13"/>
      <c r="B946" s="13"/>
      <c r="C946" s="14"/>
    </row>
    <row r="947" spans="1:3" ht="12.75" x14ac:dyDescent="0.2">
      <c r="A947" s="13"/>
      <c r="B947" s="13"/>
      <c r="C947" s="14"/>
    </row>
    <row r="948" spans="1:3" ht="12.75" x14ac:dyDescent="0.2">
      <c r="A948" s="13"/>
      <c r="B948" s="13"/>
      <c r="C948" s="14"/>
    </row>
    <row r="949" spans="1:3" ht="12.75" x14ac:dyDescent="0.2">
      <c r="A949" s="13"/>
      <c r="B949" s="13"/>
      <c r="C949" s="14"/>
    </row>
    <row r="950" spans="1:3" ht="12.75" x14ac:dyDescent="0.2">
      <c r="A950" s="13"/>
      <c r="B950" s="13"/>
      <c r="C950" s="14"/>
    </row>
    <row r="951" spans="1:3" ht="12.75" x14ac:dyDescent="0.2">
      <c r="A951" s="13"/>
      <c r="B951" s="13"/>
      <c r="C951" s="14"/>
    </row>
    <row r="952" spans="1:3" ht="12.75" x14ac:dyDescent="0.2">
      <c r="A952" s="13"/>
      <c r="B952" s="13"/>
      <c r="C952" s="14"/>
    </row>
    <row r="953" spans="1:3" ht="12.75" x14ac:dyDescent="0.2">
      <c r="A953" s="13"/>
      <c r="B953" s="13"/>
      <c r="C953" s="14"/>
    </row>
    <row r="954" spans="1:3" ht="12.75" x14ac:dyDescent="0.2">
      <c r="A954" s="13"/>
      <c r="B954" s="13"/>
      <c r="C954" s="14"/>
    </row>
    <row r="955" spans="1:3" ht="12.75" x14ac:dyDescent="0.2">
      <c r="A955" s="13"/>
      <c r="B955" s="13"/>
      <c r="C955" s="14"/>
    </row>
    <row r="956" spans="1:3" ht="12.75" x14ac:dyDescent="0.2">
      <c r="A956" s="13"/>
      <c r="B956" s="13"/>
      <c r="C956" s="14"/>
    </row>
    <row r="957" spans="1:3" ht="12.75" x14ac:dyDescent="0.2">
      <c r="A957" s="13"/>
      <c r="B957" s="13"/>
      <c r="C957" s="14"/>
    </row>
    <row r="958" spans="1:3" ht="12.75" x14ac:dyDescent="0.2">
      <c r="A958" s="13"/>
      <c r="B958" s="13"/>
      <c r="C958" s="14"/>
    </row>
    <row r="959" spans="1:3" ht="12.75" x14ac:dyDescent="0.2">
      <c r="A959" s="13"/>
      <c r="B959" s="13"/>
      <c r="C959" s="14"/>
    </row>
    <row r="960" spans="1:3" ht="12.75" x14ac:dyDescent="0.2">
      <c r="A960" s="13"/>
      <c r="B960" s="13"/>
      <c r="C960" s="14"/>
    </row>
    <row r="961" spans="1:3" ht="12.75" x14ac:dyDescent="0.2">
      <c r="A961" s="13"/>
      <c r="B961" s="13"/>
      <c r="C961" s="14"/>
    </row>
    <row r="962" spans="1:3" ht="12.75" x14ac:dyDescent="0.2">
      <c r="A962" s="13"/>
      <c r="B962" s="13"/>
      <c r="C962" s="14"/>
    </row>
    <row r="963" spans="1:3" ht="12.75" x14ac:dyDescent="0.2">
      <c r="A963" s="13"/>
      <c r="B963" s="13"/>
      <c r="C963" s="14"/>
    </row>
    <row r="964" spans="1:3" ht="12.75" x14ac:dyDescent="0.2">
      <c r="A964" s="13"/>
      <c r="B964" s="13"/>
      <c r="C964" s="14"/>
    </row>
    <row r="965" spans="1:3" ht="12.75" x14ac:dyDescent="0.2">
      <c r="A965" s="13"/>
      <c r="B965" s="13"/>
      <c r="C965" s="14"/>
    </row>
    <row r="966" spans="1:3" ht="12.75" x14ac:dyDescent="0.2">
      <c r="A966" s="13"/>
      <c r="B966" s="13"/>
      <c r="C966" s="14"/>
    </row>
    <row r="967" spans="1:3" ht="12.75" x14ac:dyDescent="0.2">
      <c r="A967" s="13"/>
      <c r="B967" s="13"/>
      <c r="C967" s="14"/>
    </row>
    <row r="968" spans="1:3" ht="12.75" x14ac:dyDescent="0.2">
      <c r="A968" s="13"/>
      <c r="B968" s="13"/>
      <c r="C968" s="14"/>
    </row>
    <row r="969" spans="1:3" ht="12.75" x14ac:dyDescent="0.2">
      <c r="A969" s="13"/>
      <c r="B969" s="13"/>
      <c r="C969" s="14"/>
    </row>
    <row r="970" spans="1:3" ht="12.75" x14ac:dyDescent="0.2">
      <c r="A970" s="13"/>
      <c r="B970" s="13"/>
      <c r="C970" s="14"/>
    </row>
    <row r="971" spans="1:3" ht="12.75" x14ac:dyDescent="0.2">
      <c r="A971" s="13"/>
      <c r="B971" s="13"/>
      <c r="C971" s="14"/>
    </row>
    <row r="972" spans="1:3" ht="12.75" x14ac:dyDescent="0.2">
      <c r="A972" s="13"/>
      <c r="B972" s="13"/>
      <c r="C972" s="14"/>
    </row>
    <row r="973" spans="1:3" ht="12.75" x14ac:dyDescent="0.2">
      <c r="A973" s="13"/>
      <c r="B973" s="13"/>
      <c r="C973" s="14"/>
    </row>
    <row r="974" spans="1:3" ht="12.75" x14ac:dyDescent="0.2">
      <c r="A974" s="13"/>
      <c r="B974" s="13"/>
      <c r="C974" s="14"/>
    </row>
    <row r="975" spans="1:3" ht="12.75" x14ac:dyDescent="0.2">
      <c r="A975" s="13"/>
      <c r="B975" s="13"/>
      <c r="C975" s="14"/>
    </row>
    <row r="976" spans="1:3" ht="12.75" x14ac:dyDescent="0.2">
      <c r="A976" s="13"/>
      <c r="B976" s="13"/>
      <c r="C976" s="14"/>
    </row>
    <row r="977" spans="1:3" ht="12.75" x14ac:dyDescent="0.2">
      <c r="A977" s="13"/>
      <c r="B977" s="13"/>
      <c r="C977" s="14"/>
    </row>
    <row r="978" spans="1:3" ht="12.75" x14ac:dyDescent="0.2">
      <c r="A978" s="13"/>
      <c r="B978" s="13"/>
      <c r="C978" s="14"/>
    </row>
    <row r="979" spans="1:3" ht="12.75" x14ac:dyDescent="0.2">
      <c r="A979" s="13"/>
      <c r="B979" s="13"/>
      <c r="C979" s="14"/>
    </row>
    <row r="980" spans="1:3" ht="12.75" x14ac:dyDescent="0.2">
      <c r="A980" s="13"/>
      <c r="B980" s="13"/>
      <c r="C980" s="14"/>
    </row>
    <row r="981" spans="1:3" ht="12.75" x14ac:dyDescent="0.2">
      <c r="A981" s="13"/>
      <c r="B981" s="13"/>
      <c r="C981" s="14"/>
    </row>
    <row r="982" spans="1:3" ht="12.75" x14ac:dyDescent="0.2">
      <c r="A982" s="13"/>
      <c r="B982" s="13"/>
      <c r="C982" s="14"/>
    </row>
    <row r="983" spans="1:3" ht="12.75" x14ac:dyDescent="0.2">
      <c r="A983" s="13"/>
      <c r="B983" s="13"/>
      <c r="C983" s="14"/>
    </row>
    <row r="984" spans="1:3" ht="12.75" x14ac:dyDescent="0.2">
      <c r="A984" s="13"/>
      <c r="B984" s="13"/>
      <c r="C984" s="14"/>
    </row>
    <row r="985" spans="1:3" ht="12.75" x14ac:dyDescent="0.2">
      <c r="A985" s="13"/>
      <c r="B985" s="13"/>
      <c r="C985" s="14"/>
    </row>
    <row r="986" spans="1:3" ht="12.75" x14ac:dyDescent="0.2">
      <c r="A986" s="13"/>
      <c r="B986" s="13"/>
      <c r="C986" s="14"/>
    </row>
    <row r="987" spans="1:3" ht="12.75" x14ac:dyDescent="0.2">
      <c r="A987" s="13"/>
      <c r="B987" s="13"/>
      <c r="C987" s="14"/>
    </row>
    <row r="988" spans="1:3" ht="12.75" x14ac:dyDescent="0.2">
      <c r="A988" s="13"/>
      <c r="B988" s="13"/>
      <c r="C988" s="14"/>
    </row>
    <row r="989" spans="1:3" ht="12.75" x14ac:dyDescent="0.2">
      <c r="A989" s="13"/>
      <c r="B989" s="13"/>
      <c r="C989" s="14"/>
    </row>
    <row r="990" spans="1:3" ht="12.75" x14ac:dyDescent="0.2">
      <c r="A990" s="13"/>
      <c r="B990" s="13"/>
      <c r="C990" s="14"/>
    </row>
    <row r="991" spans="1:3" ht="12.75" x14ac:dyDescent="0.2">
      <c r="A991" s="13"/>
      <c r="B991" s="13"/>
      <c r="C991" s="14"/>
    </row>
    <row r="992" spans="1:3" ht="12.75" x14ac:dyDescent="0.2">
      <c r="A992" s="13"/>
      <c r="B992" s="13"/>
      <c r="C992" s="14"/>
    </row>
    <row r="993" spans="1:3" ht="12.75" x14ac:dyDescent="0.2">
      <c r="A993" s="13"/>
      <c r="B993" s="13"/>
      <c r="C993" s="14"/>
    </row>
    <row r="994" spans="1:3" ht="12.75" x14ac:dyDescent="0.2">
      <c r="A994" s="13"/>
      <c r="B994" s="13"/>
      <c r="C994" s="14"/>
    </row>
    <row r="995" spans="1:3" ht="12.75" x14ac:dyDescent="0.2">
      <c r="A995" s="13"/>
      <c r="B995" s="13"/>
      <c r="C995" s="14"/>
    </row>
    <row r="996" spans="1:3" ht="12.75" x14ac:dyDescent="0.2">
      <c r="A996" s="13"/>
      <c r="B996" s="13"/>
      <c r="C996" s="14"/>
    </row>
    <row r="997" spans="1:3" ht="12.75" x14ac:dyDescent="0.2">
      <c r="A997" s="13"/>
      <c r="B997" s="13"/>
      <c r="C997" s="14"/>
    </row>
    <row r="998" spans="1:3" ht="12.75" x14ac:dyDescent="0.2">
      <c r="A998" s="13"/>
      <c r="B998" s="13"/>
      <c r="C998" s="14"/>
    </row>
    <row r="999" spans="1:3" ht="12.75" x14ac:dyDescent="0.2">
      <c r="A999" s="13"/>
      <c r="B999" s="13"/>
      <c r="C999" s="14"/>
    </row>
    <row r="1000" spans="1:3" ht="12.75" x14ac:dyDescent="0.2">
      <c r="A1000" s="13"/>
      <c r="B1000" s="13"/>
      <c r="C1000" s="1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B4"/>
  <sheetViews>
    <sheetView workbookViewId="0"/>
  </sheetViews>
  <sheetFormatPr baseColWidth="10" defaultColWidth="12.5703125" defaultRowHeight="15.75" customHeight="1" x14ac:dyDescent="0.2"/>
  <cols>
    <col min="1" max="1" width="98.85546875" customWidth="1"/>
    <col min="2" max="2" width="130.140625" customWidth="1"/>
  </cols>
  <sheetData>
    <row r="2" spans="1:2" x14ac:dyDescent="0.2">
      <c r="A2" s="15" t="s">
        <v>868</v>
      </c>
      <c r="B2" s="16" t="s">
        <v>869</v>
      </c>
    </row>
    <row r="3" spans="1:2" x14ac:dyDescent="0.2">
      <c r="A3" s="17" t="s">
        <v>870</v>
      </c>
      <c r="B3" s="16" t="s">
        <v>871</v>
      </c>
    </row>
    <row r="4" spans="1:2" x14ac:dyDescent="0.2">
      <c r="A4" s="17" t="s">
        <v>872</v>
      </c>
      <c r="B4" s="16" t="s">
        <v>873</v>
      </c>
    </row>
  </sheetData>
  <hyperlinks>
    <hyperlink ref="A2" r:id="rId1" xr:uid="{00000000-0004-0000-0200-000000000000}"/>
    <hyperlink ref="B2" r:id="rId2" xr:uid="{00000000-0004-0000-0200-000001000000}"/>
    <hyperlink ref="B3" r:id="rId3" xr:uid="{00000000-0004-0000-0200-000002000000}"/>
    <hyperlink ref="B4" r:id="rId4" xr:uid="{00000000-0004-0000-02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Terminología</vt:lpstr>
      <vt:lpstr>Tipos de bolsos</vt:lpstr>
      <vt:lpstr>bibliografía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entrada</dc:creator>
  <cp:lastModifiedBy>Eva Olga Iszoro Zak</cp:lastModifiedBy>
  <cp:lastPrinted>2024-05-11T14:40:20Z</cp:lastPrinted>
  <dcterms:created xsi:type="dcterms:W3CDTF">2024-05-11T14:37:55Z</dcterms:created>
  <dcterms:modified xsi:type="dcterms:W3CDTF">2024-05-11T14:45:26Z</dcterms:modified>
</cp:coreProperties>
</file>